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licitação servidor\PROCESSOS 2024\1-PROCESSOS PREFEITURA\PA 64.2024 CONCORRÊNCIA 02.2024 (PAVIMENTO)\Pavimento\LOTE 1\"/>
    </mc:Choice>
  </mc:AlternateContent>
  <xr:revisionPtr revIDLastSave="0" documentId="13_ncr:1_{6F53FC4C-1DDC-4BDA-8558-F2C75AD8EE7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FF" sheetId="5" r:id="rId1"/>
    <sheet name="PLAN" sheetId="1" r:id="rId2"/>
    <sheet name="MC" sheetId="2" r:id="rId3"/>
    <sheet name="BDI N DESON " sheetId="3" r:id="rId4"/>
    <sheet name="CPU" sheetId="4" r:id="rId5"/>
    <sheet name="PLAN (2)" sheetId="6" state="hidden" r:id="rId6"/>
  </sheets>
  <externalReferences>
    <externalReference r:id="rId7"/>
    <externalReference r:id="rId8"/>
  </externalReferences>
  <definedNames>
    <definedName name="_xlnm.Print_Area" localSheetId="3">'BDI N DESON '!$B$2:$F$39</definedName>
    <definedName name="_xlnm.Print_Area" localSheetId="0">CFF!$D$4:$N$44</definedName>
    <definedName name="_xlnm.Print_Area" localSheetId="4">CPU!$B$2:$I$17</definedName>
    <definedName name="_xlnm.Print_Area" localSheetId="2">MC!$B$4:$I$392</definedName>
    <definedName name="_xlnm.Print_Area" localSheetId="1">PLAN!$B$2:$L$88</definedName>
    <definedName name="_xlnm.Print_Area" localSheetId="5">'PLAN (2)'!$B$2:$L$88</definedName>
    <definedName name="AreaTeste" localSheetId="3">#REF!</definedName>
    <definedName name="AreaTeste" localSheetId="4">#REF!</definedName>
    <definedName name="AreaTeste">#REF!</definedName>
    <definedName name="AreaTeste2" localSheetId="3">#REF!</definedName>
    <definedName name="AreaTeste2" localSheetId="4">#REF!</definedName>
    <definedName name="AreaTeste2">#REF!</definedName>
    <definedName name="AS" localSheetId="3">#REF!</definedName>
    <definedName name="AS" localSheetId="4">#REF!</definedName>
    <definedName name="AS">#REF!</definedName>
    <definedName name="CélulaInicioPlanilha" localSheetId="3">#REF!</definedName>
    <definedName name="CélulaInicioPlanilha" localSheetId="4">#REF!</definedName>
    <definedName name="CélulaInicioPlanilha">#REF!</definedName>
    <definedName name="CélulaResumo" localSheetId="3">#REF!</definedName>
    <definedName name="CélulaResumo" localSheetId="4">#REF!</definedName>
    <definedName name="CélulaResumo">#REF!</definedName>
    <definedName name="dsdsdsd" localSheetId="3">#REF!</definedName>
    <definedName name="dsdsdsd" localSheetId="4">#REF!</definedName>
    <definedName name="dsdsdsd">#REF!</definedName>
    <definedName name="lklkl" localSheetId="3">#REF!</definedName>
    <definedName name="lklkl" localSheetId="4">#REF!</definedName>
    <definedName name="lklkl">#REF!</definedName>
    <definedName name="TABELA">'[1]PLANILHA FONTE'!$B$1:$G$290</definedName>
    <definedName name="_xlnm.Print_Titles" localSheetId="1">'[2]repeated header'!$4:$4</definedName>
    <definedName name="_xlnm.Print_Titles" localSheetId="5">'[2]repeated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M86" i="6"/>
  <c r="M8" i="6"/>
  <c r="N8" i="6" s="1"/>
  <c r="D8" i="6"/>
  <c r="C8" i="6"/>
  <c r="E16" i="5"/>
  <c r="E15" i="5"/>
  <c r="J20" i="5"/>
  <c r="K20" i="5"/>
  <c r="L20" i="5"/>
  <c r="M20" i="5"/>
  <c r="I20" i="5"/>
  <c r="M8" i="1"/>
  <c r="N8" i="1" s="1"/>
  <c r="E38" i="5"/>
  <c r="D38" i="5"/>
  <c r="E35" i="5"/>
  <c r="D35" i="5"/>
  <c r="E32" i="5"/>
  <c r="D32" i="5"/>
  <c r="E29" i="5"/>
  <c r="D29" i="5"/>
  <c r="E26" i="5"/>
  <c r="D26" i="5"/>
  <c r="E23" i="5"/>
  <c r="D23" i="5"/>
  <c r="E20" i="5"/>
  <c r="D20" i="5"/>
  <c r="M86" i="1" l="1"/>
  <c r="D383" i="2"/>
  <c r="H383" i="2" s="1"/>
  <c r="D382" i="2"/>
  <c r="H382" i="2" s="1"/>
  <c r="D381" i="2"/>
  <c r="H381" i="2" s="1"/>
  <c r="D375" i="2"/>
  <c r="H375" i="2" s="1"/>
  <c r="H377" i="2" s="1"/>
  <c r="D369" i="2"/>
  <c r="H369" i="2" s="1"/>
  <c r="D368" i="2"/>
  <c r="H368" i="2" s="1"/>
  <c r="D367" i="2"/>
  <c r="H367" i="2" s="1"/>
  <c r="C387" i="2"/>
  <c r="B387" i="2"/>
  <c r="C379" i="2"/>
  <c r="B379" i="2"/>
  <c r="C373" i="2"/>
  <c r="B373" i="2"/>
  <c r="C365" i="2"/>
  <c r="B365" i="2"/>
  <c r="C364" i="2"/>
  <c r="B364" i="2"/>
  <c r="I391" i="2"/>
  <c r="H389" i="2"/>
  <c r="H391" i="2" s="1"/>
  <c r="I385" i="2"/>
  <c r="I377" i="2"/>
  <c r="I371" i="2"/>
  <c r="H354" i="2"/>
  <c r="C358" i="2"/>
  <c r="B358" i="2"/>
  <c r="C351" i="2"/>
  <c r="B351" i="2"/>
  <c r="C345" i="2"/>
  <c r="B345" i="2"/>
  <c r="H341" i="2"/>
  <c r="C338" i="2"/>
  <c r="B338" i="2"/>
  <c r="C337" i="2"/>
  <c r="B337" i="2"/>
  <c r="C336" i="2"/>
  <c r="B336" i="2"/>
  <c r="I362" i="2"/>
  <c r="H360" i="2"/>
  <c r="H362" i="2" s="1"/>
  <c r="I356" i="2"/>
  <c r="H353" i="2"/>
  <c r="I349" i="2"/>
  <c r="H347" i="2"/>
  <c r="H349" i="2" s="1"/>
  <c r="I343" i="2"/>
  <c r="H340" i="2"/>
  <c r="D314" i="2"/>
  <c r="H314" i="2" s="1"/>
  <c r="H316" i="2" s="1"/>
  <c r="C330" i="2"/>
  <c r="B330" i="2"/>
  <c r="C324" i="2"/>
  <c r="B324" i="2"/>
  <c r="C318" i="2"/>
  <c r="B318" i="2"/>
  <c r="C312" i="2"/>
  <c r="B312" i="2"/>
  <c r="C311" i="2"/>
  <c r="B311" i="2"/>
  <c r="I334" i="2"/>
  <c r="H332" i="2"/>
  <c r="H334" i="2" s="1"/>
  <c r="I328" i="2"/>
  <c r="H326" i="2"/>
  <c r="H328" i="2" s="1"/>
  <c r="I322" i="2"/>
  <c r="H320" i="2"/>
  <c r="H322" i="2" s="1"/>
  <c r="I316" i="2"/>
  <c r="C305" i="2"/>
  <c r="B305" i="2"/>
  <c r="C299" i="2"/>
  <c r="B299" i="2"/>
  <c r="C293" i="2"/>
  <c r="B293" i="2"/>
  <c r="C287" i="2"/>
  <c r="B287" i="2"/>
  <c r="C286" i="2"/>
  <c r="B286" i="2"/>
  <c r="C285" i="2"/>
  <c r="B285" i="2"/>
  <c r="I309" i="2"/>
  <c r="H307" i="2"/>
  <c r="H309" i="2" s="1"/>
  <c r="I303" i="2"/>
  <c r="H301" i="2"/>
  <c r="H303" i="2" s="1"/>
  <c r="I297" i="2"/>
  <c r="H295" i="2"/>
  <c r="H297" i="2" s="1"/>
  <c r="I291" i="2"/>
  <c r="H289" i="2"/>
  <c r="H291" i="2" s="1"/>
  <c r="C279" i="2"/>
  <c r="B279" i="2"/>
  <c r="C273" i="2"/>
  <c r="B273" i="2"/>
  <c r="C267" i="2"/>
  <c r="B267" i="2"/>
  <c r="C261" i="2"/>
  <c r="B261" i="2"/>
  <c r="C260" i="2"/>
  <c r="B260" i="2"/>
  <c r="I283" i="2"/>
  <c r="H281" i="2"/>
  <c r="H283" i="2" s="1"/>
  <c r="I277" i="2"/>
  <c r="H275" i="2"/>
  <c r="H277" i="2" s="1"/>
  <c r="I271" i="2"/>
  <c r="H269" i="2"/>
  <c r="H271" i="2" s="1"/>
  <c r="I265" i="2"/>
  <c r="H263" i="2"/>
  <c r="H265" i="2" s="1"/>
  <c r="C254" i="2"/>
  <c r="B254" i="2"/>
  <c r="C248" i="2"/>
  <c r="B248" i="2"/>
  <c r="C242" i="2"/>
  <c r="B242" i="2"/>
  <c r="C236" i="2"/>
  <c r="B236" i="2"/>
  <c r="C235" i="2"/>
  <c r="B235" i="2"/>
  <c r="C234" i="2"/>
  <c r="B234" i="2"/>
  <c r="I258" i="2"/>
  <c r="H256" i="2"/>
  <c r="H258" i="2" s="1"/>
  <c r="I252" i="2"/>
  <c r="H250" i="2"/>
  <c r="H252" i="2" s="1"/>
  <c r="I246" i="2"/>
  <c r="H244" i="2"/>
  <c r="H246" i="2" s="1"/>
  <c r="I240" i="2"/>
  <c r="H238" i="2"/>
  <c r="H240" i="2" s="1"/>
  <c r="I17" i="4"/>
  <c r="I16" i="4"/>
  <c r="I15" i="4"/>
  <c r="C8" i="1"/>
  <c r="D8" i="1"/>
  <c r="I12" i="4"/>
  <c r="I13" i="4"/>
  <c r="M27" i="3"/>
  <c r="M24" i="3"/>
  <c r="M21" i="3"/>
  <c r="M18" i="3"/>
  <c r="M15" i="3"/>
  <c r="F13" i="3"/>
  <c r="F39" i="3" s="1"/>
  <c r="H3" i="6" s="1"/>
  <c r="M12" i="3"/>
  <c r="M9" i="3"/>
  <c r="M6" i="3"/>
  <c r="G52" i="1" l="1"/>
  <c r="G52" i="6"/>
  <c r="J52" i="6" s="1"/>
  <c r="G53" i="1"/>
  <c r="G53" i="6"/>
  <c r="J53" i="6" s="1"/>
  <c r="G54" i="1"/>
  <c r="J54" i="1" s="1"/>
  <c r="G54" i="6"/>
  <c r="J54" i="6" s="1"/>
  <c r="G55" i="1"/>
  <c r="G55" i="6"/>
  <c r="J55" i="6" s="1"/>
  <c r="G57" i="1"/>
  <c r="J57" i="1" s="1"/>
  <c r="G57" i="6"/>
  <c r="J57" i="6" s="1"/>
  <c r="G58" i="1"/>
  <c r="J58" i="1" s="1"/>
  <c r="G58" i="6"/>
  <c r="J58" i="6" s="1"/>
  <c r="G59" i="1"/>
  <c r="J59" i="1" s="1"/>
  <c r="G59" i="6"/>
  <c r="J59" i="6" s="1"/>
  <c r="G60" i="1"/>
  <c r="J60" i="1" s="1"/>
  <c r="G60" i="6"/>
  <c r="J60" i="6" s="1"/>
  <c r="G63" i="1"/>
  <c r="J63" i="1" s="1"/>
  <c r="G63" i="6"/>
  <c r="J63" i="6" s="1"/>
  <c r="G64" i="1"/>
  <c r="J64" i="1" s="1"/>
  <c r="G64" i="6"/>
  <c r="J64" i="6" s="1"/>
  <c r="G65" i="1"/>
  <c r="J65" i="1" s="1"/>
  <c r="G65" i="6"/>
  <c r="J65" i="6" s="1"/>
  <c r="G66" i="1"/>
  <c r="G66" i="6"/>
  <c r="J66" i="6" s="1"/>
  <c r="G69" i="1"/>
  <c r="J69" i="1" s="1"/>
  <c r="G69" i="6"/>
  <c r="J69" i="6" s="1"/>
  <c r="G70" i="1"/>
  <c r="J70" i="1" s="1"/>
  <c r="G70" i="6"/>
  <c r="J70" i="6" s="1"/>
  <c r="G71" i="1"/>
  <c r="J71" i="1" s="1"/>
  <c r="G71" i="6"/>
  <c r="J71" i="6" s="1"/>
  <c r="G68" i="1"/>
  <c r="J68" i="1" s="1"/>
  <c r="G68" i="6"/>
  <c r="J68" i="6" s="1"/>
  <c r="J67" i="6" s="1"/>
  <c r="G75" i="1"/>
  <c r="J75" i="1" s="1"/>
  <c r="G75" i="6"/>
  <c r="J75" i="6" s="1"/>
  <c r="G77" i="1"/>
  <c r="J77" i="1" s="1"/>
  <c r="G77" i="6"/>
  <c r="J77" i="6" s="1"/>
  <c r="G82" i="1"/>
  <c r="G82" i="6"/>
  <c r="J82" i="6" s="1"/>
  <c r="G80" i="1"/>
  <c r="J80" i="1" s="1"/>
  <c r="G80" i="6"/>
  <c r="J80" i="6" s="1"/>
  <c r="I82" i="6"/>
  <c r="K82" i="6" s="1"/>
  <c r="I18" i="6"/>
  <c r="I60" i="6"/>
  <c r="K60" i="6" s="1"/>
  <c r="I48" i="6"/>
  <c r="I28" i="6"/>
  <c r="I66" i="6"/>
  <c r="K66" i="6" s="1"/>
  <c r="I53" i="6"/>
  <c r="K53" i="6" s="1"/>
  <c r="I23" i="6"/>
  <c r="I12" i="6"/>
  <c r="I46" i="6"/>
  <c r="I11" i="6"/>
  <c r="I7" i="6"/>
  <c r="I37" i="6"/>
  <c r="I32" i="6"/>
  <c r="I27" i="6"/>
  <c r="I8" i="6"/>
  <c r="I80" i="6"/>
  <c r="K80" i="6" s="1"/>
  <c r="I52" i="6"/>
  <c r="K52" i="6" s="1"/>
  <c r="I41" i="6"/>
  <c r="I22" i="6"/>
  <c r="I16" i="6"/>
  <c r="I36" i="6"/>
  <c r="I64" i="6"/>
  <c r="K64" i="6" s="1"/>
  <c r="I39" i="6"/>
  <c r="I69" i="6"/>
  <c r="K69" i="6" s="1"/>
  <c r="I49" i="6"/>
  <c r="I44" i="6"/>
  <c r="I34" i="6"/>
  <c r="I10" i="6"/>
  <c r="I76" i="6"/>
  <c r="I24" i="6"/>
  <c r="I63" i="6"/>
  <c r="K63" i="6" s="1"/>
  <c r="I42" i="6"/>
  <c r="I21" i="6"/>
  <c r="I59" i="6"/>
  <c r="K59" i="6" s="1"/>
  <c r="I31" i="6"/>
  <c r="I70" i="6"/>
  <c r="K70" i="6" s="1"/>
  <c r="I33" i="6"/>
  <c r="I75" i="6"/>
  <c r="K75" i="6" s="1"/>
  <c r="I54" i="6"/>
  <c r="K54" i="6" s="1"/>
  <c r="I71" i="6"/>
  <c r="K71" i="6" s="1"/>
  <c r="I47" i="6"/>
  <c r="I26" i="6"/>
  <c r="I68" i="6"/>
  <c r="K68" i="6" s="1"/>
  <c r="K67" i="6" s="1"/>
  <c r="I81" i="6"/>
  <c r="I17" i="6"/>
  <c r="I29" i="6"/>
  <c r="I38" i="6"/>
  <c r="I79" i="6"/>
  <c r="I58" i="6"/>
  <c r="K58" i="6" s="1"/>
  <c r="H3" i="1"/>
  <c r="I81" i="1" s="1"/>
  <c r="I57" i="6"/>
  <c r="K57" i="6" s="1"/>
  <c r="K56" i="6" s="1"/>
  <c r="I65" i="6"/>
  <c r="K65" i="6" s="1"/>
  <c r="I77" i="6"/>
  <c r="K77" i="6" s="1"/>
  <c r="I43" i="6"/>
  <c r="I55" i="6"/>
  <c r="K55" i="6" s="1"/>
  <c r="I74" i="6"/>
  <c r="I15" i="6"/>
  <c r="J62" i="6"/>
  <c r="J61" i="6" s="1"/>
  <c r="J51" i="6"/>
  <c r="I82" i="1"/>
  <c r="K82" i="1" s="1"/>
  <c r="I79" i="1"/>
  <c r="I80" i="1"/>
  <c r="K80" i="1" s="1"/>
  <c r="J67" i="1"/>
  <c r="J56" i="1"/>
  <c r="H385" i="2"/>
  <c r="H371" i="2"/>
  <c r="H356" i="2"/>
  <c r="H343" i="2"/>
  <c r="J82" i="1"/>
  <c r="I68" i="1"/>
  <c r="K68" i="1" s="1"/>
  <c r="I74" i="1"/>
  <c r="I69" i="1"/>
  <c r="K69" i="1" s="1"/>
  <c r="I70" i="1"/>
  <c r="K70" i="1" s="1"/>
  <c r="I75" i="1"/>
  <c r="K75" i="1" s="1"/>
  <c r="I77" i="1"/>
  <c r="K77" i="1" s="1"/>
  <c r="I63" i="1"/>
  <c r="K63" i="1" s="1"/>
  <c r="I64" i="1"/>
  <c r="K64" i="1" s="1"/>
  <c r="I66" i="1"/>
  <c r="K66" i="1" s="1"/>
  <c r="J66" i="1"/>
  <c r="J62" i="1" s="1"/>
  <c r="I58" i="1"/>
  <c r="K58" i="1" s="1"/>
  <c r="I57" i="1"/>
  <c r="K57" i="1" s="1"/>
  <c r="I60" i="1"/>
  <c r="K60" i="1" s="1"/>
  <c r="I52" i="1"/>
  <c r="K52" i="1" s="1"/>
  <c r="I53" i="1"/>
  <c r="K53" i="1" s="1"/>
  <c r="J55" i="1"/>
  <c r="J52" i="1"/>
  <c r="J53" i="1"/>
  <c r="I11" i="4"/>
  <c r="I14" i="4"/>
  <c r="C228" i="2"/>
  <c r="B228" i="2"/>
  <c r="C222" i="2"/>
  <c r="B222" i="2"/>
  <c r="C216" i="2"/>
  <c r="B216" i="2"/>
  <c r="C210" i="2"/>
  <c r="B210" i="2"/>
  <c r="C209" i="2"/>
  <c r="B209" i="2"/>
  <c r="C203" i="2"/>
  <c r="B203" i="2"/>
  <c r="C197" i="2"/>
  <c r="B197" i="2"/>
  <c r="C191" i="2"/>
  <c r="B191" i="2"/>
  <c r="C185" i="2"/>
  <c r="B185" i="2"/>
  <c r="C184" i="2"/>
  <c r="B184" i="2"/>
  <c r="C178" i="2"/>
  <c r="B178" i="2"/>
  <c r="C172" i="2"/>
  <c r="B172" i="2"/>
  <c r="C166" i="2"/>
  <c r="B166" i="2"/>
  <c r="C160" i="2"/>
  <c r="B160" i="2"/>
  <c r="C159" i="2"/>
  <c r="B159" i="2"/>
  <c r="C153" i="2"/>
  <c r="B153" i="2"/>
  <c r="C147" i="2"/>
  <c r="B147" i="2"/>
  <c r="C140" i="2"/>
  <c r="B140" i="2"/>
  <c r="C134" i="2"/>
  <c r="B134" i="2"/>
  <c r="C133" i="2"/>
  <c r="B133" i="2"/>
  <c r="C127" i="2"/>
  <c r="B127" i="2"/>
  <c r="C121" i="2"/>
  <c r="B121" i="2"/>
  <c r="C113" i="2"/>
  <c r="B113" i="2"/>
  <c r="C107" i="2"/>
  <c r="B107" i="2"/>
  <c r="C106" i="2"/>
  <c r="B106" i="2"/>
  <c r="C100" i="2"/>
  <c r="B100" i="2"/>
  <c r="C94" i="2"/>
  <c r="B94" i="2"/>
  <c r="C86" i="2"/>
  <c r="B86" i="2"/>
  <c r="C80" i="2"/>
  <c r="B80" i="2"/>
  <c r="C79" i="2"/>
  <c r="B79" i="2"/>
  <c r="C78" i="2"/>
  <c r="B78" i="2"/>
  <c r="C72" i="2"/>
  <c r="B72" i="2"/>
  <c r="C66" i="2"/>
  <c r="B66" i="2"/>
  <c r="C60" i="2"/>
  <c r="B60" i="2"/>
  <c r="C54" i="2"/>
  <c r="B54" i="2"/>
  <c r="C53" i="2"/>
  <c r="B53" i="2"/>
  <c r="C52" i="2"/>
  <c r="B52" i="2"/>
  <c r="C46" i="2"/>
  <c r="B46" i="2"/>
  <c r="C39" i="2"/>
  <c r="B39" i="2"/>
  <c r="C33" i="2"/>
  <c r="B33" i="2"/>
  <c r="C32" i="2"/>
  <c r="B32" i="2"/>
  <c r="C23" i="2"/>
  <c r="B23" i="2"/>
  <c r="C17" i="2"/>
  <c r="B17" i="2"/>
  <c r="C16" i="2"/>
  <c r="B16" i="2"/>
  <c r="I232" i="2"/>
  <c r="H230" i="2"/>
  <c r="H232" i="2" s="1"/>
  <c r="I226" i="2"/>
  <c r="H224" i="2"/>
  <c r="H226" i="2" s="1"/>
  <c r="I220" i="2"/>
  <c r="H218" i="2"/>
  <c r="H220" i="2" s="1"/>
  <c r="I214" i="2"/>
  <c r="H212" i="2"/>
  <c r="H214" i="2" s="1"/>
  <c r="I207" i="2"/>
  <c r="H205" i="2"/>
  <c r="H207" i="2" s="1"/>
  <c r="I201" i="2"/>
  <c r="H199" i="2"/>
  <c r="H201" i="2" s="1"/>
  <c r="I195" i="2"/>
  <c r="H193" i="2"/>
  <c r="H195" i="2" s="1"/>
  <c r="I189" i="2"/>
  <c r="H187" i="2"/>
  <c r="H189" i="2" s="1"/>
  <c r="I182" i="2"/>
  <c r="H180" i="2"/>
  <c r="H182" i="2" s="1"/>
  <c r="I176" i="2"/>
  <c r="H174" i="2"/>
  <c r="H176" i="2" s="1"/>
  <c r="I170" i="2"/>
  <c r="H168" i="2"/>
  <c r="H170" i="2" s="1"/>
  <c r="I164" i="2"/>
  <c r="H162" i="2"/>
  <c r="H164" i="2" s="1"/>
  <c r="I157" i="2"/>
  <c r="H155" i="2"/>
  <c r="H157" i="2" s="1"/>
  <c r="I151" i="2"/>
  <c r="H149" i="2"/>
  <c r="H151" i="2" s="1"/>
  <c r="I145" i="2"/>
  <c r="H143" i="2"/>
  <c r="H142" i="2"/>
  <c r="I138" i="2"/>
  <c r="D136" i="2"/>
  <c r="H136" i="2" s="1"/>
  <c r="H138" i="2" s="1"/>
  <c r="I131" i="2"/>
  <c r="H129" i="2"/>
  <c r="H131" i="2" s="1"/>
  <c r="I125" i="2"/>
  <c r="H123" i="2"/>
  <c r="H125" i="2" s="1"/>
  <c r="I119" i="2"/>
  <c r="H117" i="2"/>
  <c r="H116" i="2"/>
  <c r="H115" i="2"/>
  <c r="I111" i="2"/>
  <c r="H109" i="2"/>
  <c r="H111" i="2" s="1"/>
  <c r="I104" i="2"/>
  <c r="H102" i="2"/>
  <c r="H104" i="2" s="1"/>
  <c r="I98" i="2"/>
  <c r="H96" i="2"/>
  <c r="H98" i="2" s="1"/>
  <c r="I92" i="2"/>
  <c r="H90" i="2"/>
  <c r="H89" i="2"/>
  <c r="H88" i="2"/>
  <c r="I84" i="2"/>
  <c r="H82" i="2"/>
  <c r="H84" i="2" s="1"/>
  <c r="I76" i="2"/>
  <c r="H74" i="2"/>
  <c r="H76" i="2" s="1"/>
  <c r="I70" i="2"/>
  <c r="H68" i="2"/>
  <c r="H70" i="2" s="1"/>
  <c r="I64" i="2"/>
  <c r="H62" i="2"/>
  <c r="H64" i="2" s="1"/>
  <c r="I58" i="2"/>
  <c r="H56" i="2"/>
  <c r="H58" i="2" s="1"/>
  <c r="I50" i="2"/>
  <c r="H48" i="2"/>
  <c r="H50" i="2" s="1"/>
  <c r="I44" i="2"/>
  <c r="H42" i="2"/>
  <c r="H41" i="2"/>
  <c r="I37" i="2"/>
  <c r="H35" i="2"/>
  <c r="H37" i="2" s="1"/>
  <c r="I30" i="2"/>
  <c r="H30" i="2"/>
  <c r="H26" i="2"/>
  <c r="H25" i="2"/>
  <c r="I21" i="2"/>
  <c r="H19" i="2"/>
  <c r="H21" i="2" s="1"/>
  <c r="I49" i="1"/>
  <c r="I47" i="1"/>
  <c r="I48" i="1"/>
  <c r="I46" i="1"/>
  <c r="I42" i="1"/>
  <c r="I43" i="1"/>
  <c r="I44" i="1"/>
  <c r="I41" i="1"/>
  <c r="I37" i="1"/>
  <c r="I38" i="1"/>
  <c r="I39" i="1"/>
  <c r="I36" i="1"/>
  <c r="I32" i="1"/>
  <c r="I33" i="1"/>
  <c r="I34" i="1"/>
  <c r="I31" i="1"/>
  <c r="I27" i="1"/>
  <c r="I28" i="1"/>
  <c r="I29" i="1"/>
  <c r="I26" i="1"/>
  <c r="I22" i="1"/>
  <c r="I23" i="1"/>
  <c r="I24" i="1"/>
  <c r="I21" i="1"/>
  <c r="I18" i="1"/>
  <c r="I17" i="1"/>
  <c r="I16" i="1"/>
  <c r="I15" i="1"/>
  <c r="I12" i="1"/>
  <c r="I11" i="1"/>
  <c r="I10" i="1"/>
  <c r="I8" i="1"/>
  <c r="I7" i="1"/>
  <c r="G7" i="1" l="1"/>
  <c r="J7" i="1" s="1"/>
  <c r="G7" i="6"/>
  <c r="J7" i="6" s="1"/>
  <c r="J8" i="1"/>
  <c r="G8" i="6"/>
  <c r="J8" i="6" s="1"/>
  <c r="G10" i="1"/>
  <c r="J10" i="1" s="1"/>
  <c r="G10" i="6"/>
  <c r="J10" i="6" s="1"/>
  <c r="G12" i="1"/>
  <c r="G12" i="6"/>
  <c r="G15" i="1"/>
  <c r="J15" i="1" s="1"/>
  <c r="G15" i="6"/>
  <c r="J15" i="6" s="1"/>
  <c r="G16" i="1"/>
  <c r="J16" i="1" s="1"/>
  <c r="G16" i="6"/>
  <c r="J16" i="6" s="1"/>
  <c r="G17" i="1"/>
  <c r="J17" i="1" s="1"/>
  <c r="G17" i="6"/>
  <c r="J17" i="6" s="1"/>
  <c r="G18" i="1"/>
  <c r="J18" i="1" s="1"/>
  <c r="G18" i="6"/>
  <c r="J18" i="6" s="1"/>
  <c r="G21" i="1"/>
  <c r="J21" i="1" s="1"/>
  <c r="G21" i="6"/>
  <c r="J21" i="6" s="1"/>
  <c r="G23" i="1"/>
  <c r="J23" i="1" s="1"/>
  <c r="G23" i="6"/>
  <c r="J23" i="6" s="1"/>
  <c r="G24" i="1"/>
  <c r="J24" i="1" s="1"/>
  <c r="G24" i="6"/>
  <c r="J24" i="6" s="1"/>
  <c r="G26" i="1"/>
  <c r="J26" i="1" s="1"/>
  <c r="G26" i="6"/>
  <c r="J26" i="6" s="1"/>
  <c r="G28" i="1"/>
  <c r="G28" i="6"/>
  <c r="J28" i="6" s="1"/>
  <c r="G29" i="1"/>
  <c r="J29" i="1" s="1"/>
  <c r="G29" i="6"/>
  <c r="J29" i="6" s="1"/>
  <c r="G31" i="1"/>
  <c r="J31" i="1" s="1"/>
  <c r="G31" i="6"/>
  <c r="J31" i="6" s="1"/>
  <c r="G33" i="1"/>
  <c r="J33" i="1" s="1"/>
  <c r="G33" i="6"/>
  <c r="J33" i="6" s="1"/>
  <c r="G34" i="1"/>
  <c r="J34" i="1" s="1"/>
  <c r="G34" i="6"/>
  <c r="J34" i="6" s="1"/>
  <c r="G36" i="1"/>
  <c r="J36" i="1" s="1"/>
  <c r="G36" i="6"/>
  <c r="J36" i="6" s="1"/>
  <c r="G37" i="1"/>
  <c r="J37" i="1" s="1"/>
  <c r="G37" i="6"/>
  <c r="J37" i="6" s="1"/>
  <c r="G38" i="1"/>
  <c r="J38" i="1" s="1"/>
  <c r="G38" i="6"/>
  <c r="J38" i="6" s="1"/>
  <c r="G39" i="1"/>
  <c r="J39" i="1" s="1"/>
  <c r="G39" i="6"/>
  <c r="J39" i="6" s="1"/>
  <c r="G41" i="1"/>
  <c r="J41" i="1" s="1"/>
  <c r="G41" i="6"/>
  <c r="J41" i="6" s="1"/>
  <c r="G42" i="1"/>
  <c r="J42" i="1" s="1"/>
  <c r="G42" i="6"/>
  <c r="J42" i="6" s="1"/>
  <c r="G43" i="1"/>
  <c r="J43" i="1" s="1"/>
  <c r="G43" i="6"/>
  <c r="J43" i="6" s="1"/>
  <c r="G44" i="1"/>
  <c r="J44" i="1" s="1"/>
  <c r="G44" i="6"/>
  <c r="J44" i="6" s="1"/>
  <c r="G46" i="1"/>
  <c r="J46" i="1" s="1"/>
  <c r="G46" i="6"/>
  <c r="J46" i="6" s="1"/>
  <c r="G47" i="1"/>
  <c r="J47" i="1" s="1"/>
  <c r="G47" i="6"/>
  <c r="J47" i="6" s="1"/>
  <c r="G48" i="1"/>
  <c r="J48" i="1" s="1"/>
  <c r="G48" i="6"/>
  <c r="J48" i="6" s="1"/>
  <c r="G49" i="1"/>
  <c r="J49" i="1" s="1"/>
  <c r="G49" i="6"/>
  <c r="J49" i="6" s="1"/>
  <c r="G74" i="1"/>
  <c r="J74" i="1" s="1"/>
  <c r="G74" i="6"/>
  <c r="J74" i="6" s="1"/>
  <c r="G76" i="1"/>
  <c r="J76" i="1" s="1"/>
  <c r="G76" i="6"/>
  <c r="J76" i="6" s="1"/>
  <c r="G79" i="1"/>
  <c r="J79" i="1" s="1"/>
  <c r="G79" i="6"/>
  <c r="J79" i="6" s="1"/>
  <c r="G81" i="1"/>
  <c r="J81" i="1" s="1"/>
  <c r="G81" i="6"/>
  <c r="J81" i="6" s="1"/>
  <c r="K15" i="6"/>
  <c r="K74" i="6"/>
  <c r="K43" i="6"/>
  <c r="K79" i="6"/>
  <c r="K38" i="6"/>
  <c r="K29" i="6"/>
  <c r="K17" i="6"/>
  <c r="K81" i="6"/>
  <c r="K26" i="6"/>
  <c r="K47" i="6"/>
  <c r="K33" i="6"/>
  <c r="K31" i="6"/>
  <c r="K21" i="6"/>
  <c r="K42" i="6"/>
  <c r="K62" i="6"/>
  <c r="K24" i="6"/>
  <c r="K76" i="6"/>
  <c r="K10" i="6"/>
  <c r="K34" i="6"/>
  <c r="K44" i="6"/>
  <c r="K49" i="6"/>
  <c r="K39" i="6"/>
  <c r="K36" i="6"/>
  <c r="K16" i="6"/>
  <c r="K41" i="6"/>
  <c r="K37" i="6"/>
  <c r="K7" i="6"/>
  <c r="K6" i="6" s="1"/>
  <c r="K46" i="6"/>
  <c r="K12" i="6"/>
  <c r="K23" i="6"/>
  <c r="K28" i="6"/>
  <c r="K48" i="6"/>
  <c r="K18" i="6"/>
  <c r="J56" i="6"/>
  <c r="J50" i="6" s="1"/>
  <c r="I54" i="1"/>
  <c r="K54" i="1" s="1"/>
  <c r="I65" i="1"/>
  <c r="K65" i="1" s="1"/>
  <c r="I71" i="1"/>
  <c r="K71" i="1" s="1"/>
  <c r="K45" i="6"/>
  <c r="I59" i="1"/>
  <c r="K59" i="1" s="1"/>
  <c r="K56" i="1" s="1"/>
  <c r="I76" i="1"/>
  <c r="K76" i="1" s="1"/>
  <c r="K73" i="6"/>
  <c r="K40" i="6"/>
  <c r="K35" i="6"/>
  <c r="K51" i="6"/>
  <c r="K50" i="6" s="1"/>
  <c r="K78" i="6"/>
  <c r="K14" i="6"/>
  <c r="K13" i="6" s="1"/>
  <c r="I55" i="1"/>
  <c r="K55" i="1" s="1"/>
  <c r="K51" i="1" s="1"/>
  <c r="E17" i="5"/>
  <c r="K61" i="6"/>
  <c r="K79" i="1"/>
  <c r="J78" i="1"/>
  <c r="K81" i="1"/>
  <c r="K78" i="1" s="1"/>
  <c r="J51" i="1"/>
  <c r="J50" i="1" s="1"/>
  <c r="J73" i="1"/>
  <c r="J72" i="1" s="1"/>
  <c r="J61" i="1"/>
  <c r="K74" i="1"/>
  <c r="K67" i="1"/>
  <c r="K62" i="1"/>
  <c r="H119" i="2"/>
  <c r="H44" i="2"/>
  <c r="H92" i="2"/>
  <c r="H145" i="2"/>
  <c r="K23" i="1"/>
  <c r="K31" i="1"/>
  <c r="K43" i="1"/>
  <c r="K26" i="1"/>
  <c r="K38" i="1"/>
  <c r="K39" i="1"/>
  <c r="K34" i="1"/>
  <c r="K46" i="1"/>
  <c r="K33" i="1"/>
  <c r="K37" i="1"/>
  <c r="K29" i="1"/>
  <c r="K41" i="1"/>
  <c r="K28" i="1"/>
  <c r="K49" i="1"/>
  <c r="K48" i="1"/>
  <c r="K47" i="1"/>
  <c r="J45" i="1"/>
  <c r="K44" i="1"/>
  <c r="K42" i="1"/>
  <c r="J40" i="1"/>
  <c r="J35" i="1"/>
  <c r="K36" i="1"/>
  <c r="J28" i="1"/>
  <c r="K24" i="1"/>
  <c r="K21" i="1"/>
  <c r="K18" i="1"/>
  <c r="K17" i="1"/>
  <c r="J14" i="1"/>
  <c r="J13" i="1" s="1"/>
  <c r="K16" i="1"/>
  <c r="K15" i="1"/>
  <c r="K12" i="1"/>
  <c r="K10" i="1"/>
  <c r="J6" i="1"/>
  <c r="K7" i="1"/>
  <c r="H20" i="5" s="1"/>
  <c r="G32" i="1" l="1"/>
  <c r="J32" i="1" s="1"/>
  <c r="J30" i="1" s="1"/>
  <c r="G32" i="6"/>
  <c r="G22" i="1"/>
  <c r="J22" i="1" s="1"/>
  <c r="J20" i="1" s="1"/>
  <c r="G22" i="6"/>
  <c r="G11" i="1"/>
  <c r="G11" i="6"/>
  <c r="G27" i="1"/>
  <c r="J27" i="1" s="1"/>
  <c r="G27" i="6"/>
  <c r="K72" i="6"/>
  <c r="J78" i="6"/>
  <c r="J73" i="6"/>
  <c r="J45" i="6"/>
  <c r="J40" i="6"/>
  <c r="J35" i="6"/>
  <c r="J14" i="6"/>
  <c r="J13" i="6" s="1"/>
  <c r="M12" i="6"/>
  <c r="N12" i="6" s="1"/>
  <c r="J12" i="6"/>
  <c r="J12" i="1"/>
  <c r="M12" i="1"/>
  <c r="N12" i="1" s="1"/>
  <c r="J6" i="6"/>
  <c r="N20" i="5"/>
  <c r="H21" i="5"/>
  <c r="K73" i="1"/>
  <c r="K72" i="1" s="1"/>
  <c r="M38" i="5" s="1"/>
  <c r="K61" i="1"/>
  <c r="K50" i="1"/>
  <c r="J32" i="5" s="1"/>
  <c r="K27" i="1"/>
  <c r="K25" i="1" s="1"/>
  <c r="J25" i="1"/>
  <c r="J19" i="1" s="1"/>
  <c r="K22" i="1"/>
  <c r="K20" i="1" s="1"/>
  <c r="K11" i="1"/>
  <c r="K9" i="1" s="1"/>
  <c r="K32" i="1"/>
  <c r="K30" i="1" s="1"/>
  <c r="K35" i="1"/>
  <c r="K45" i="1"/>
  <c r="K40" i="1"/>
  <c r="K14" i="1"/>
  <c r="K13" i="1" s="1"/>
  <c r="I26" i="5" s="1"/>
  <c r="K6" i="1"/>
  <c r="J72" i="6" l="1"/>
  <c r="J27" i="6"/>
  <c r="J25" i="6" s="1"/>
  <c r="K27" i="6"/>
  <c r="K25" i="6" s="1"/>
  <c r="M11" i="6"/>
  <c r="N11" i="6" s="1"/>
  <c r="J11" i="6"/>
  <c r="J9" i="6" s="1"/>
  <c r="K11" i="6"/>
  <c r="K9" i="6" s="1"/>
  <c r="J11" i="1"/>
  <c r="J9" i="1" s="1"/>
  <c r="I84" i="1" s="1"/>
  <c r="M11" i="1"/>
  <c r="N11" i="1" s="1"/>
  <c r="J22" i="6"/>
  <c r="J20" i="6" s="1"/>
  <c r="K22" i="6"/>
  <c r="K20" i="6" s="1"/>
  <c r="J32" i="6"/>
  <c r="J30" i="6" s="1"/>
  <c r="J19" i="6" s="1"/>
  <c r="I84" i="6" s="1"/>
  <c r="K32" i="6"/>
  <c r="K30" i="6" s="1"/>
  <c r="N32" i="5"/>
  <c r="J33" i="5" s="1"/>
  <c r="N33" i="5" s="1"/>
  <c r="N26" i="5"/>
  <c r="I27" i="5" s="1"/>
  <c r="N27" i="5" s="1"/>
  <c r="M35" i="5"/>
  <c r="L35" i="5"/>
  <c r="N38" i="5"/>
  <c r="M39" i="5" s="1"/>
  <c r="N39" i="5" s="1"/>
  <c r="I23" i="5"/>
  <c r="I41" i="5" s="1"/>
  <c r="H23" i="5"/>
  <c r="K21" i="5"/>
  <c r="J21" i="5"/>
  <c r="I21" i="5"/>
  <c r="M21" i="5"/>
  <c r="L21" i="5"/>
  <c r="K19" i="1"/>
  <c r="K19" i="6" l="1"/>
  <c r="N35" i="5"/>
  <c r="L36" i="5"/>
  <c r="I86" i="1"/>
  <c r="M87" i="1" s="1"/>
  <c r="J29" i="5"/>
  <c r="L29" i="5"/>
  <c r="M29" i="5"/>
  <c r="K29" i="5"/>
  <c r="M36" i="5"/>
  <c r="N23" i="5"/>
  <c r="I24" i="5" s="1"/>
  <c r="H24" i="5"/>
  <c r="N24" i="5" s="1"/>
  <c r="H41" i="5"/>
  <c r="N21" i="5"/>
  <c r="L51" i="1"/>
  <c r="L50" i="1"/>
  <c r="L82" i="1"/>
  <c r="L81" i="1"/>
  <c r="L72" i="1"/>
  <c r="L62" i="1"/>
  <c r="L63" i="1"/>
  <c r="L56" i="1"/>
  <c r="L57" i="1"/>
  <c r="L54" i="1"/>
  <c r="L22" i="1"/>
  <c r="I85" i="1"/>
  <c r="L23" i="1"/>
  <c r="L27" i="1"/>
  <c r="L11" i="1"/>
  <c r="L46" i="1"/>
  <c r="L15" i="1"/>
  <c r="L12" i="1"/>
  <c r="L28" i="1"/>
  <c r="L7" i="1"/>
  <c r="L36" i="1"/>
  <c r="L39" i="1"/>
  <c r="L25" i="1"/>
  <c r="L21" i="1"/>
  <c r="L31" i="1"/>
  <c r="L16" i="1"/>
  <c r="L14" i="1"/>
  <c r="L19" i="1"/>
  <c r="L8" i="1"/>
  <c r="L42" i="1"/>
  <c r="L48" i="1"/>
  <c r="I86" i="6" l="1"/>
  <c r="L19" i="6"/>
  <c r="L73" i="1"/>
  <c r="L58" i="1"/>
  <c r="L49" i="1"/>
  <c r="L29" i="1"/>
  <c r="L34" i="1"/>
  <c r="L76" i="1"/>
  <c r="L13" i="1"/>
  <c r="L30" i="1"/>
  <c r="L6" i="1"/>
  <c r="L59" i="1"/>
  <c r="L75" i="1"/>
  <c r="L35" i="1"/>
  <c r="L18" i="1"/>
  <c r="L60" i="1"/>
  <c r="L69" i="1"/>
  <c r="L70" i="1"/>
  <c r="N36" i="5"/>
  <c r="L47" i="1"/>
  <c r="L41" i="1"/>
  <c r="L17" i="1"/>
  <c r="L33" i="1"/>
  <c r="L52" i="1"/>
  <c r="L61" i="1"/>
  <c r="L74" i="1"/>
  <c r="M41" i="5"/>
  <c r="L80" i="1"/>
  <c r="H43" i="5"/>
  <c r="I43" i="5" s="1"/>
  <c r="N29" i="5"/>
  <c r="L30" i="5" s="1"/>
  <c r="J30" i="5"/>
  <c r="J41" i="5"/>
  <c r="L65" i="1"/>
  <c r="L10" i="1"/>
  <c r="L43" i="1"/>
  <c r="L40" i="1"/>
  <c r="L55" i="1"/>
  <c r="L66" i="1"/>
  <c r="L71" i="1"/>
  <c r="L78" i="1"/>
  <c r="L41" i="5"/>
  <c r="K41" i="5"/>
  <c r="L53" i="1"/>
  <c r="L67" i="1"/>
  <c r="L68" i="1"/>
  <c r="L38" i="1"/>
  <c r="L45" i="1"/>
  <c r="L24" i="1"/>
  <c r="L37" i="1"/>
  <c r="L32" i="1"/>
  <c r="L26" i="1"/>
  <c r="L44" i="1"/>
  <c r="L9" i="1"/>
  <c r="L20" i="1"/>
  <c r="L64" i="1"/>
  <c r="L77" i="1"/>
  <c r="L79" i="1"/>
  <c r="L13" i="6" l="1"/>
  <c r="L72" i="6"/>
  <c r="L61" i="6"/>
  <c r="L50" i="6"/>
  <c r="M87" i="6"/>
  <c r="I85" i="6"/>
  <c r="L8" i="6"/>
  <c r="L82" i="6"/>
  <c r="L39" i="6"/>
  <c r="L16" i="6"/>
  <c r="L52" i="6"/>
  <c r="L36" i="6"/>
  <c r="L53" i="6"/>
  <c r="L49" i="6"/>
  <c r="L60" i="6"/>
  <c r="L34" i="6"/>
  <c r="L22" i="6"/>
  <c r="L48" i="6"/>
  <c r="L10" i="6"/>
  <c r="L69" i="6"/>
  <c r="L18" i="6"/>
  <c r="L80" i="6"/>
  <c r="L11" i="6"/>
  <c r="L37" i="6"/>
  <c r="L12" i="6"/>
  <c r="L28" i="6"/>
  <c r="L7" i="6"/>
  <c r="L66" i="6"/>
  <c r="L23" i="6"/>
  <c r="L79" i="6"/>
  <c r="L68" i="6"/>
  <c r="L81" i="6"/>
  <c r="L33" i="6"/>
  <c r="L9" i="6"/>
  <c r="L27" i="6"/>
  <c r="L47" i="6"/>
  <c r="L17" i="6"/>
  <c r="L46" i="6"/>
  <c r="L38" i="6"/>
  <c r="L54" i="6"/>
  <c r="L59" i="6"/>
  <c r="L42" i="6"/>
  <c r="L21" i="6"/>
  <c r="L58" i="6"/>
  <c r="L75" i="6"/>
  <c r="L41" i="6"/>
  <c r="L43" i="6"/>
  <c r="L64" i="6"/>
  <c r="L44" i="6"/>
  <c r="L55" i="6"/>
  <c r="L65" i="6"/>
  <c r="L76" i="6"/>
  <c r="L71" i="6"/>
  <c r="L63" i="6"/>
  <c r="L74" i="6"/>
  <c r="L26" i="6"/>
  <c r="L29" i="6"/>
  <c r="L15" i="6"/>
  <c r="L57" i="6"/>
  <c r="L77" i="6"/>
  <c r="L70" i="6"/>
  <c r="L31" i="6"/>
  <c r="L32" i="6"/>
  <c r="L6" i="6"/>
  <c r="L24" i="6"/>
  <c r="L51" i="6"/>
  <c r="L45" i="6"/>
  <c r="L14" i="6"/>
  <c r="L56" i="6"/>
  <c r="L20" i="6"/>
  <c r="L35" i="6"/>
  <c r="L25" i="6"/>
  <c r="L40" i="6"/>
  <c r="L73" i="6"/>
  <c r="L62" i="6"/>
  <c r="L67" i="6"/>
  <c r="L78" i="6"/>
  <c r="L30" i="6"/>
  <c r="J43" i="5"/>
  <c r="K43" i="5" s="1"/>
  <c r="L43" i="5" s="1"/>
  <c r="M43" i="5" s="1"/>
  <c r="M30" i="5"/>
  <c r="N41" i="5"/>
  <c r="I42" i="5" s="1"/>
  <c r="K30" i="5"/>
  <c r="N30" i="5" s="1"/>
  <c r="M42" i="5" l="1"/>
  <c r="L42" i="5"/>
  <c r="J42" i="5"/>
  <c r="H42" i="5"/>
  <c r="K42" i="5"/>
  <c r="N42" i="5" s="1"/>
  <c r="H44" i="5"/>
  <c r="I44" i="5" s="1"/>
  <c r="J44" i="5" s="1"/>
  <c r="K44" i="5" s="1"/>
  <c r="L44" i="5" s="1"/>
  <c r="M44" i="5" s="1"/>
</calcChain>
</file>

<file path=xl/sharedStrings.xml><?xml version="1.0" encoding="utf-8"?>
<sst xmlns="http://schemas.openxmlformats.org/spreadsheetml/2006/main" count="1128" uniqueCount="209">
  <si>
    <t>Bancos</t>
  </si>
  <si>
    <t>Encargos Sociais</t>
  </si>
  <si>
    <t>Não Desonerado: 0,00%</t>
  </si>
  <si>
    <t xml:space="preserve"> 1 </t>
  </si>
  <si>
    <t>SERVIÇOS PRELIMINARES</t>
  </si>
  <si>
    <t xml:space="preserve"> 1.1 </t>
  </si>
  <si>
    <t xml:space="preserve"> 103689 </t>
  </si>
  <si>
    <t>SINAPI</t>
  </si>
  <si>
    <t>FORNECIMENTO E INSTALAÇÃO DE PLACA DE OBRA COM CHAPA GALVANIZADA E ESTRUTURA DE MADEIRA. AF_03/2022_PS</t>
  </si>
  <si>
    <t>m²</t>
  </si>
  <si>
    <t xml:space="preserve"> 1.2 </t>
  </si>
  <si>
    <t>ADMINISTRAÇÃO DE OBRA</t>
  </si>
  <si>
    <t>UN</t>
  </si>
  <si>
    <t xml:space="preserve"> 2 </t>
  </si>
  <si>
    <t>ESTRADA VILA DE IMBIRUÇU</t>
  </si>
  <si>
    <t xml:space="preserve"> 2.1 </t>
  </si>
  <si>
    <t xml:space="preserve"> 100575 </t>
  </si>
  <si>
    <t>REGULARIZAÇÃO DE SUPERFÍCIES COM MOTONIVELADORA. AF_11/2019</t>
  </si>
  <si>
    <t xml:space="preserve"> 2.2 </t>
  </si>
  <si>
    <t xml:space="preserve"> 94273 </t>
  </si>
  <si>
    <t>ASSENTAMENTO DE GUIA (MEIO-FIO) EM TRECHO RETO, CONFECCIONADA EM CONCRETO PRÉ-FABRICADO, DIMENSÕES 100X15X13X30 CM (COMPRIMENTO X BASE INFERIOR X BASE SUPERIOR X ALTURA). AF_01/2024</t>
  </si>
  <si>
    <t>M</t>
  </si>
  <si>
    <t xml:space="preserve"> 2.3 </t>
  </si>
  <si>
    <t xml:space="preserve"> 101169 </t>
  </si>
  <si>
    <t>EXECUÇÃO DE PAVIMENTO EM PARALELEPÍPEDOS, REJUNTAMENTO COM ARGAMASSA TRAÇO 1:3 (CIMENTO E AREIA). AF_05/2020</t>
  </si>
  <si>
    <t xml:space="preserve"> 3 </t>
  </si>
  <si>
    <t>BAIRRO MOACIR SOARES</t>
  </si>
  <si>
    <t xml:space="preserve"> 3.1 </t>
  </si>
  <si>
    <t>RUA VALDEMAR JOSÉ DA SILVA</t>
  </si>
  <si>
    <t xml:space="preserve"> 3.1.1 </t>
  </si>
  <si>
    <t xml:space="preserve"> 3.1.2 </t>
  </si>
  <si>
    <t xml:space="preserve"> 3.1.3 </t>
  </si>
  <si>
    <t xml:space="preserve"> 3.1.4 </t>
  </si>
  <si>
    <t>PLACA ESMALTADA PARA IDENTIFICAÇÃO NR DE RUA, DIMENSÕES 45X25CM - (SINAPI 01/2020)</t>
  </si>
  <si>
    <t xml:space="preserve"> 4 </t>
  </si>
  <si>
    <t>BAIRRO SANTO ANTONIO</t>
  </si>
  <si>
    <t xml:space="preserve"> 4.1 </t>
  </si>
  <si>
    <t>RUA DJANIRA PINHEIRO DE OLIVEIRA</t>
  </si>
  <si>
    <t xml:space="preserve"> 4.1.1 </t>
  </si>
  <si>
    <t xml:space="preserve"> 4.1.2 </t>
  </si>
  <si>
    <t xml:space="preserve"> 4.1.3 </t>
  </si>
  <si>
    <t xml:space="preserve"> 4.1.4 </t>
  </si>
  <si>
    <t xml:space="preserve"> 4.2 </t>
  </si>
  <si>
    <t>RUA FLORENTINO FRANCISCO DE AMORIM</t>
  </si>
  <si>
    <t xml:space="preserve"> 4.2.1 </t>
  </si>
  <si>
    <t xml:space="preserve"> 4.2.2 </t>
  </si>
  <si>
    <t xml:space="preserve"> 4.2.3 </t>
  </si>
  <si>
    <t xml:space="preserve"> 4.2.4 </t>
  </si>
  <si>
    <t xml:space="preserve"> 4.3 </t>
  </si>
  <si>
    <t>RUA ALEXANDRINA LOPES DE MELO</t>
  </si>
  <si>
    <t xml:space="preserve"> 4.3.1 </t>
  </si>
  <si>
    <t xml:space="preserve"> 4.3.2 </t>
  </si>
  <si>
    <t xml:space="preserve"> 4.3.3 </t>
  </si>
  <si>
    <t xml:space="preserve"> 4.3.4 </t>
  </si>
  <si>
    <t xml:space="preserve"> 4.4 </t>
  </si>
  <si>
    <t>RUA MARIA JOSE RAMOS DOS PASSOS</t>
  </si>
  <si>
    <t xml:space="preserve"> 4.4.1 </t>
  </si>
  <si>
    <t xml:space="preserve"> 4.4.2 </t>
  </si>
  <si>
    <t xml:space="preserve"> 4.4.3 </t>
  </si>
  <si>
    <t xml:space="preserve"> 4.4.4 </t>
  </si>
  <si>
    <t xml:space="preserve"> 4.5 </t>
  </si>
  <si>
    <t>RUA COMERCIANTE MANOEL PEDRO DA SILVA</t>
  </si>
  <si>
    <t xml:space="preserve"> 4.5.1 </t>
  </si>
  <si>
    <t xml:space="preserve"> 4.5.2 </t>
  </si>
  <si>
    <t xml:space="preserve"> 4.5.3 </t>
  </si>
  <si>
    <t xml:space="preserve"> 4.5.4 </t>
  </si>
  <si>
    <t xml:space="preserve"> 4.6 </t>
  </si>
  <si>
    <t>RUA MARIA ABÍLIA DA SILVA</t>
  </si>
  <si>
    <t xml:space="preserve"> 4.6.1 </t>
  </si>
  <si>
    <t xml:space="preserve"> 4.6.2 </t>
  </si>
  <si>
    <t xml:space="preserve"> 4.6.3 </t>
  </si>
  <si>
    <t xml:space="preserve"> 4.6.4 </t>
  </si>
  <si>
    <t>Total sem BDI</t>
  </si>
  <si>
    <t>Total do BDI</t>
  </si>
  <si>
    <t>Total Geral</t>
  </si>
  <si>
    <t>MEMÓRIA DE CÁLCULO</t>
  </si>
  <si>
    <t>ITEM</t>
  </si>
  <si>
    <t>DESCRIÇÃO</t>
  </si>
  <si>
    <t>COMPRIMENTO</t>
  </si>
  <si>
    <t>LARGURA</t>
  </si>
  <si>
    <t>TAXA</t>
  </si>
  <si>
    <t>DESCONTO</t>
  </si>
  <si>
    <t>TOTAL</t>
  </si>
  <si>
    <t>UNIDADE</t>
  </si>
  <si>
    <t>ALTURA</t>
  </si>
  <si>
    <t>DIMENSÕES</t>
  </si>
  <si>
    <t>M2</t>
  </si>
  <si>
    <t>H/DIA</t>
  </si>
  <si>
    <t>DIAS/SEMANA</t>
  </si>
  <si>
    <t>SEMANAS</t>
  </si>
  <si>
    <t>MESES</t>
  </si>
  <si>
    <t>ENGENHEIRO</t>
  </si>
  <si>
    <t>H</t>
  </si>
  <si>
    <t>ENCARREGADO</t>
  </si>
  <si>
    <t>Recrava</t>
  </si>
  <si>
    <t>QUANTIDADE</t>
  </si>
  <si>
    <t>Entrada de rua</t>
  </si>
  <si>
    <t>COMPOSIÇÃO DA BONIFICAÇÃO DAS DESPESAS INDIRETAS – BDI</t>
  </si>
  <si>
    <t>GRUPO</t>
  </si>
  <si>
    <t>1.0 IMPOSTOS</t>
  </si>
  <si>
    <t>1.1 ISS</t>
  </si>
  <si>
    <t>1.2 PIS</t>
  </si>
  <si>
    <t>1.3 COFINS</t>
  </si>
  <si>
    <t>1.4 CPRB</t>
  </si>
  <si>
    <t>Subtotal</t>
  </si>
  <si>
    <t xml:space="preserve">GRUPO </t>
  </si>
  <si>
    <t>2.0 DESPESAS INDIRETAS</t>
  </si>
  <si>
    <t>2.1 ADMINISTRAÇÃO CENTRAL</t>
  </si>
  <si>
    <t>3.0 DESPESAS FINANCEIRAS, LUCRO.</t>
  </si>
  <si>
    <t>3.1 Risco de Capital</t>
  </si>
  <si>
    <t>3.2 Despesas Financeiras</t>
  </si>
  <si>
    <t>3.3 Lucro</t>
  </si>
  <si>
    <t>3.4 Seguro e Garantia</t>
  </si>
  <si>
    <t>Fórmula Adotada para Cálculo do BDI:</t>
  </si>
  <si>
    <r>
      <t xml:space="preserve">BDI = </t>
    </r>
    <r>
      <rPr>
        <u/>
        <sz val="10"/>
        <rFont val="Arial"/>
        <family val="2"/>
      </rPr>
      <t>(1+ AC + S + R + G)(1+ DF)(1 + L)</t>
    </r>
    <r>
      <rPr>
        <sz val="10"/>
        <rFont val="Arial"/>
        <family val="2"/>
      </rPr>
      <t xml:space="preserve"> - 1</t>
    </r>
  </si>
  <si>
    <t xml:space="preserve">                             (1 – I)</t>
  </si>
  <si>
    <t xml:space="preserve">onde: </t>
  </si>
  <si>
    <t xml:space="preserve">AC = taxa de administração central </t>
  </si>
  <si>
    <t xml:space="preserve">S = taxa de seguros </t>
  </si>
  <si>
    <t xml:space="preserve">R = taxa de riscos </t>
  </si>
  <si>
    <t xml:space="preserve">G = taxa de garantias </t>
  </si>
  <si>
    <t xml:space="preserve">DF = taxa de despesas financeiras </t>
  </si>
  <si>
    <t xml:space="preserve">L = taxa de lucro/remuneração </t>
  </si>
  <si>
    <t xml:space="preserve">I = taxa de incidência de impostos (PIS, COFINS e ISS) </t>
  </si>
  <si>
    <t>BDI ADOTADO</t>
  </si>
  <si>
    <t>ENCARREGADO GERAL COM ENCARGOS COMPLEMENTARES</t>
  </si>
  <si>
    <t xml:space="preserve">	ENGENHEIRO CIVIL DE OBRA PLENO COM ENCARGOS COMPLEMENTARES</t>
  </si>
  <si>
    <t>COEFICIENTE</t>
  </si>
  <si>
    <t>PREÇO UNITÁRIO</t>
  </si>
  <si>
    <t>CÓDIGO</t>
  </si>
  <si>
    <t>BANCO</t>
  </si>
  <si>
    <t>1.2</t>
  </si>
  <si>
    <t>PRÓPRIA</t>
  </si>
  <si>
    <t>SERVENTE COM ENCARGOS COMPLEMENTARES</t>
  </si>
  <si>
    <t>BUCHA DE NYLON SEM ABA S6, COM PARAFUSO DE 4,20 X 40 MM EM ACO ZINCADO COM ROSCA SOBERBA, CABECA CHATA E FENDA PHILLIPS</t>
  </si>
  <si>
    <t>PLACA DE ACO ESMALTADA PARA IDENTIFICACAO DE RUA, *45 CM X 20* CM</t>
  </si>
  <si>
    <t>SINAPI-I</t>
  </si>
  <si>
    <t>SINAPI - 06/2024    PRÓPRIO</t>
  </si>
  <si>
    <t>COMPOSIÇÕES DE PREÇOS UNITÁRIOS</t>
  </si>
  <si>
    <t>IMPLANTAÇÃO DE PAVIMENTAÇÃO EM PARALELEPIPEDOS GRANÍTICOS NO MUNICÍPIO DE CUPIRA/PE</t>
  </si>
  <si>
    <t>UND</t>
  </si>
  <si>
    <t>QUANT.</t>
  </si>
  <si>
    <t>VALOR UNIT.</t>
  </si>
  <si>
    <t>VALOR UNIT. COM BDI</t>
  </si>
  <si>
    <t>PESO (%)</t>
  </si>
  <si>
    <t>BDI</t>
  </si>
  <si>
    <t>OBRA</t>
  </si>
  <si>
    <t>ORÇAMENTO SINTÉTICO</t>
  </si>
  <si>
    <t>BAIRRO NOVO HORIZONTE</t>
  </si>
  <si>
    <t>6.1</t>
  </si>
  <si>
    <t>6.2</t>
  </si>
  <si>
    <t>TRAV. PEDRO ALVARES CABRAL/SÃO JOÃO BATISTA</t>
  </si>
  <si>
    <t>RUA HENRIQUE DIAS</t>
  </si>
  <si>
    <t>BAIRRO MARIA JOSEFA</t>
  </si>
  <si>
    <t>7.1</t>
  </si>
  <si>
    <t>7.2</t>
  </si>
  <si>
    <t>RUA PROJETADA "C"</t>
  </si>
  <si>
    <t>RUA PROJETADA "I"</t>
  </si>
  <si>
    <t>LAJE DE SÃO JOSÉ</t>
  </si>
  <si>
    <t>RUA DA QUADRA</t>
  </si>
  <si>
    <t>RUA DA BARRAGEM</t>
  </si>
  <si>
    <t>6.1.1</t>
  </si>
  <si>
    <t>6.1.2</t>
  </si>
  <si>
    <t>6.1.3</t>
  </si>
  <si>
    <t>6.1.4</t>
  </si>
  <si>
    <t>6.2.1</t>
  </si>
  <si>
    <t>6.2.2</t>
  </si>
  <si>
    <t>6.2.3</t>
  </si>
  <si>
    <t>6.2.4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</si>
  <si>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</si>
  <si>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</si>
  <si>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</si>
  <si>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</si>
  <si>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</si>
  <si>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</si>
  <si>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</si>
  <si>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</si>
  <si>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ÁREA</t>
  </si>
  <si>
    <t>Lajedo de pedra (área aproximada)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</si>
  <si>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</si>
  <si>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</si>
  <si>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</si>
  <si>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</si>
  <si>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</si>
  <si>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</si>
  <si>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</si>
  <si>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</si>
  <si>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</si>
  <si>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</si>
  <si>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UNID</t>
  </si>
  <si>
    <t>R$</t>
  </si>
  <si>
    <t>%</t>
  </si>
  <si>
    <t>1 MÊS</t>
  </si>
  <si>
    <t>2 MÊS</t>
  </si>
  <si>
    <t>3 MÊS</t>
  </si>
  <si>
    <t>4 MÊS</t>
  </si>
  <si>
    <t>5 MÊS</t>
  </si>
  <si>
    <t>6 MÊS</t>
  </si>
  <si>
    <t>TOTAL (R$)/MÊS</t>
  </si>
  <si>
    <t>TOTAL (%)/MÊS</t>
  </si>
  <si>
    <t>TOTAL ACUMULADO (R$)/MÊS</t>
  </si>
  <si>
    <t>TOTAL ACUMULADO (%)/MÊS</t>
  </si>
  <si>
    <t>CRONOGRAMA FÍSICO-FINANCEIRO</t>
  </si>
  <si>
    <t>OBRA:</t>
  </si>
  <si>
    <t>BDI:</t>
  </si>
  <si>
    <t>TABELA:</t>
  </si>
  <si>
    <t>SEM DESONERAÇÃO</t>
  </si>
  <si>
    <t>_______________________________________________________________
Luiz Augusto de Medeiros Santos
Engenheiro Civil - CREA: PE022104PE</t>
  </si>
  <si>
    <t>LOTE I - IMPLANTAÇÃO DE PAVIMENTAÇÃO EM PARALELEPÍPEDOS GRANÍTICOS – EMENDA PARLAMENTAR 202427180004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</si>
</sst>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0.00000"/>
  </numFmts>
  <fonts count="3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/>
      <bottom style="thin">
        <color theme="0" tint="-4.9989318521683403E-2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/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4.9989318521683403E-2"/>
      </right>
      <top style="medium">
        <color theme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medium">
        <color theme="1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theme="1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indexed="64"/>
      </top>
      <bottom/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 style="thin">
        <color indexed="64"/>
      </bottom>
      <diagonal/>
    </border>
  </borders>
  <cellStyleXfs count="7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20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43" fontId="20" fillId="0" borderId="0" xfId="4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0" fillId="0" borderId="8" xfId="3" applyFont="1" applyBorder="1" applyAlignment="1">
      <alignment horizontal="center" vertical="center"/>
    </xf>
    <xf numFmtId="43" fontId="20" fillId="0" borderId="0" xfId="4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13" fillId="16" borderId="0" xfId="0" applyFont="1" applyFill="1" applyAlignment="1">
      <alignment horizontal="center" vertical="center" wrapText="1"/>
    </xf>
    <xf numFmtId="0" fontId="24" fillId="0" borderId="0" xfId="6" applyFont="1" applyAlignment="1">
      <alignment vertical="center"/>
    </xf>
    <xf numFmtId="10" fontId="24" fillId="0" borderId="0" xfId="6" applyNumberFormat="1" applyFont="1" applyAlignment="1">
      <alignment vertical="center"/>
    </xf>
    <xf numFmtId="0" fontId="27" fillId="0" borderId="8" xfId="6" applyFont="1" applyBorder="1" applyAlignment="1">
      <alignment horizontal="center" vertical="center"/>
    </xf>
    <xf numFmtId="0" fontId="27" fillId="0" borderId="0" xfId="6" applyFont="1" applyAlignment="1">
      <alignment vertical="center"/>
    </xf>
    <xf numFmtId="0" fontId="27" fillId="0" borderId="9" xfId="6" applyFont="1" applyBorder="1" applyAlignment="1">
      <alignment vertical="center"/>
    </xf>
    <xf numFmtId="0" fontId="28" fillId="0" borderId="0" xfId="6" applyFont="1" applyAlignment="1">
      <alignment vertical="center"/>
    </xf>
    <xf numFmtId="4" fontId="28" fillId="0" borderId="0" xfId="6" applyNumberFormat="1" applyFont="1" applyAlignment="1">
      <alignment vertical="center"/>
    </xf>
    <xf numFmtId="0" fontId="29" fillId="0" borderId="8" xfId="6" applyFont="1" applyBorder="1" applyAlignment="1">
      <alignment vertical="center"/>
    </xf>
    <xf numFmtId="0" fontId="27" fillId="0" borderId="8" xfId="6" applyFont="1" applyBorder="1" applyAlignment="1">
      <alignment vertical="center"/>
    </xf>
    <xf numFmtId="10" fontId="27" fillId="0" borderId="9" xfId="6" applyNumberFormat="1" applyFont="1" applyBorder="1" applyAlignment="1">
      <alignment vertical="center"/>
    </xf>
    <xf numFmtId="10" fontId="27" fillId="0" borderId="0" xfId="6" applyNumberFormat="1" applyFont="1" applyAlignment="1">
      <alignment vertical="center"/>
    </xf>
    <xf numFmtId="0" fontId="26" fillId="0" borderId="0" xfId="6" applyFont="1" applyAlignment="1">
      <alignment vertical="center"/>
    </xf>
    <xf numFmtId="10" fontId="29" fillId="23" borderId="18" xfId="6" applyNumberFormat="1" applyFont="1" applyFill="1" applyBorder="1" applyAlignment="1">
      <alignment vertical="center"/>
    </xf>
    <xf numFmtId="165" fontId="29" fillId="0" borderId="0" xfId="6" applyNumberFormat="1" applyFont="1" applyAlignment="1">
      <alignment vertical="center"/>
    </xf>
    <xf numFmtId="0" fontId="27" fillId="0" borderId="0" xfId="6" applyFont="1" applyAlignment="1">
      <alignment horizontal="center" vertical="center"/>
    </xf>
    <xf numFmtId="10" fontId="28" fillId="0" borderId="0" xfId="6" applyNumberFormat="1" applyFont="1" applyAlignment="1">
      <alignment vertical="center"/>
    </xf>
    <xf numFmtId="0" fontId="29" fillId="0" borderId="0" xfId="6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horizontal="center" vertical="center" wrapText="1"/>
    </xf>
    <xf numFmtId="0" fontId="14" fillId="17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13" fillId="16" borderId="8" xfId="0" applyFont="1" applyFill="1" applyBorder="1" applyAlignment="1">
      <alignment horizontal="left" vertical="center" wrapText="1"/>
    </xf>
    <xf numFmtId="44" fontId="13" fillId="16" borderId="0" xfId="1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right" vertical="center" wrapText="1"/>
    </xf>
    <xf numFmtId="44" fontId="4" fillId="7" borderId="1" xfId="1" applyFont="1" applyFill="1" applyBorder="1" applyAlignment="1">
      <alignment horizontal="left" vertical="center" wrapText="1"/>
    </xf>
    <xf numFmtId="44" fontId="6" fillId="9" borderId="1" xfId="1" applyFont="1" applyFill="1" applyBorder="1" applyAlignment="1">
      <alignment horizontal="right" vertical="center" wrapText="1"/>
    </xf>
    <xf numFmtId="164" fontId="7" fillId="10" borderId="11" xfId="0" applyNumberFormat="1" applyFont="1" applyFill="1" applyBorder="1" applyAlignment="1">
      <alignment horizontal="righ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center" wrapText="1"/>
    </xf>
    <xf numFmtId="43" fontId="10" fillId="13" borderId="1" xfId="0" applyNumberFormat="1" applyFont="1" applyFill="1" applyBorder="1" applyAlignment="1">
      <alignment horizontal="right" vertical="center" wrapText="1"/>
    </xf>
    <xf numFmtId="44" fontId="11" fillId="14" borderId="1" xfId="1" applyFont="1" applyFill="1" applyBorder="1" applyAlignment="1">
      <alignment horizontal="right" vertical="center" wrapText="1"/>
    </xf>
    <xf numFmtId="164" fontId="12" fillId="15" borderId="11" xfId="0" applyNumberFormat="1" applyFont="1" applyFill="1" applyBorder="1" applyAlignment="1">
      <alignment horizontal="right" vertical="center" wrapText="1"/>
    </xf>
    <xf numFmtId="0" fontId="18" fillId="21" borderId="8" xfId="0" applyFont="1" applyFill="1" applyBorder="1" applyAlignment="1">
      <alignment horizontal="center" vertical="center" wrapText="1"/>
    </xf>
    <xf numFmtId="44" fontId="18" fillId="21" borderId="0" xfId="1" applyFont="1" applyFill="1" applyBorder="1" applyAlignment="1">
      <alignment horizontal="center" vertical="center" wrapText="1"/>
    </xf>
    <xf numFmtId="0" fontId="18" fillId="21" borderId="9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right" vertical="center" wrapText="1"/>
    </xf>
    <xf numFmtId="0" fontId="17" fillId="20" borderId="0" xfId="0" applyFont="1" applyFill="1" applyAlignment="1">
      <alignment horizontal="left" vertical="center" wrapText="1"/>
    </xf>
    <xf numFmtId="0" fontId="14" fillId="17" borderId="8" xfId="0" applyFont="1" applyFill="1" applyBorder="1" applyAlignment="1">
      <alignment horizontal="center" vertical="center" wrapText="1"/>
    </xf>
    <xf numFmtId="44" fontId="14" fillId="17" borderId="0" xfId="1" applyFont="1" applyFill="1" applyBorder="1" applyAlignment="1">
      <alignment horizontal="center" vertical="center" wrapText="1"/>
    </xf>
    <xf numFmtId="0" fontId="14" fillId="17" borderId="9" xfId="0" applyFont="1" applyFill="1" applyBorder="1" applyAlignment="1">
      <alignment horizontal="center" vertical="center" wrapText="1"/>
    </xf>
    <xf numFmtId="0" fontId="31" fillId="11" borderId="19" xfId="0" applyFont="1" applyFill="1" applyBorder="1" applyAlignment="1">
      <alignment horizontal="center" vertical="center" wrapText="1"/>
    </xf>
    <xf numFmtId="0" fontId="31" fillId="11" borderId="19" xfId="0" applyFont="1" applyFill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vertical="center" wrapText="1"/>
    </xf>
    <xf numFmtId="44" fontId="17" fillId="0" borderId="19" xfId="1" applyFont="1" applyBorder="1" applyAlignment="1">
      <alignment vertical="center"/>
    </xf>
    <xf numFmtId="43" fontId="17" fillId="0" borderId="19" xfId="5" applyFont="1" applyBorder="1" applyAlignment="1">
      <alignment vertical="center"/>
    </xf>
    <xf numFmtId="0" fontId="31" fillId="11" borderId="20" xfId="0" applyFont="1" applyFill="1" applyBorder="1" applyAlignment="1">
      <alignment horizontal="center" vertical="center" wrapText="1"/>
    </xf>
    <xf numFmtId="44" fontId="31" fillId="11" borderId="21" xfId="1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vertical="center"/>
    </xf>
    <xf numFmtId="44" fontId="17" fillId="0" borderId="21" xfId="1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44" fontId="17" fillId="0" borderId="24" xfId="1" applyFont="1" applyBorder="1" applyAlignment="1">
      <alignment vertical="center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43" fontId="20" fillId="0" borderId="19" xfId="4" applyFont="1" applyBorder="1" applyAlignment="1">
      <alignment horizontal="center" vertical="center"/>
    </xf>
    <xf numFmtId="43" fontId="20" fillId="0" borderId="19" xfId="4" applyFont="1" applyBorder="1" applyAlignment="1">
      <alignment vertical="center"/>
    </xf>
    <xf numFmtId="0" fontId="23" fillId="0" borderId="19" xfId="3" applyFont="1" applyBorder="1" applyAlignment="1">
      <alignment horizontal="right" vertical="center"/>
    </xf>
    <xf numFmtId="0" fontId="22" fillId="22" borderId="19" xfId="3" applyFont="1" applyFill="1" applyBorder="1" applyAlignment="1">
      <alignment vertical="center"/>
    </xf>
    <xf numFmtId="43" fontId="22" fillId="22" borderId="19" xfId="4" applyFont="1" applyFill="1" applyBorder="1" applyAlignment="1">
      <alignment horizontal="center" vertical="center"/>
    </xf>
    <xf numFmtId="0" fontId="20" fillId="0" borderId="19" xfId="3" applyFont="1" applyBorder="1" applyAlignment="1">
      <alignment horizontal="right" vertical="center"/>
    </xf>
    <xf numFmtId="0" fontId="4" fillId="7" borderId="30" xfId="0" applyFont="1" applyFill="1" applyBorder="1" applyAlignment="1">
      <alignment horizontal="left" vertical="center" wrapText="1"/>
    </xf>
    <xf numFmtId="0" fontId="20" fillId="0" borderId="31" xfId="3" applyFont="1" applyBorder="1" applyAlignment="1">
      <alignment vertical="center"/>
    </xf>
    <xf numFmtId="43" fontId="20" fillId="0" borderId="31" xfId="4" applyFont="1" applyBorder="1" applyAlignment="1">
      <alignment horizontal="center" vertical="center"/>
    </xf>
    <xf numFmtId="43" fontId="20" fillId="0" borderId="31" xfId="4" applyFont="1" applyBorder="1" applyAlignment="1">
      <alignment vertical="center"/>
    </xf>
    <xf numFmtId="0" fontId="31" fillId="11" borderId="26" xfId="0" applyFont="1" applyFill="1" applyBorder="1" applyAlignment="1">
      <alignment horizontal="center" vertical="center" wrapText="1"/>
    </xf>
    <xf numFmtId="0" fontId="31" fillId="11" borderId="26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center" wrapText="1"/>
    </xf>
    <xf numFmtId="0" fontId="4" fillId="7" borderId="19" xfId="0" applyFont="1" applyFill="1" applyBorder="1" applyAlignment="1">
      <alignment horizontal="left" wrapText="1"/>
    </xf>
    <xf numFmtId="0" fontId="20" fillId="0" borderId="32" xfId="3" applyFont="1" applyBorder="1" applyAlignment="1">
      <alignment vertical="center"/>
    </xf>
    <xf numFmtId="0" fontId="20" fillId="0" borderId="32" xfId="3" applyFont="1" applyBorder="1" applyAlignment="1">
      <alignment horizontal="right" vertical="center"/>
    </xf>
    <xf numFmtId="43" fontId="20" fillId="0" borderId="32" xfId="4" applyFont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4" fillId="7" borderId="35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31" fillId="11" borderId="25" xfId="0" applyFont="1" applyFill="1" applyBorder="1" applyAlignment="1">
      <alignment horizontal="center" vertical="center" wrapText="1"/>
    </xf>
    <xf numFmtId="0" fontId="31" fillId="11" borderId="27" xfId="0" applyFont="1" applyFill="1" applyBorder="1" applyAlignment="1">
      <alignment horizontal="center" vertical="center" wrapText="1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2" fillId="22" borderId="20" xfId="3" applyFont="1" applyFill="1" applyBorder="1" applyAlignment="1">
      <alignment horizontal="center" vertical="center"/>
    </xf>
    <xf numFmtId="0" fontId="22" fillId="22" borderId="21" xfId="3" applyFont="1" applyFill="1" applyBorder="1" applyAlignment="1">
      <alignment horizontal="center" vertical="center"/>
    </xf>
    <xf numFmtId="0" fontId="31" fillId="11" borderId="21" xfId="0" applyFont="1" applyFill="1" applyBorder="1" applyAlignment="1">
      <alignment horizontal="center" vertical="center" wrapText="1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vertical="center"/>
    </xf>
    <xf numFmtId="0" fontId="20" fillId="0" borderId="23" xfId="3" applyFont="1" applyBorder="1" applyAlignment="1">
      <alignment horizontal="center" vertical="center"/>
    </xf>
    <xf numFmtId="43" fontId="20" fillId="0" borderId="23" xfId="4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left" vertical="center" wrapText="1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4" fillId="24" borderId="40" xfId="0" applyFont="1" applyFill="1" applyBorder="1" applyAlignment="1">
      <alignment horizontal="center" vertical="center" wrapText="1"/>
    </xf>
    <xf numFmtId="0" fontId="4" fillId="24" borderId="29" xfId="0" applyFont="1" applyFill="1" applyBorder="1" applyAlignment="1">
      <alignment horizontal="center" vertical="center" wrapText="1"/>
    </xf>
    <xf numFmtId="0" fontId="4" fillId="24" borderId="41" xfId="0" applyFont="1" applyFill="1" applyBorder="1" applyAlignment="1">
      <alignment horizontal="left" vertical="center" wrapText="1"/>
    </xf>
    <xf numFmtId="0" fontId="20" fillId="0" borderId="2" xfId="3" applyFont="1" applyBorder="1" applyAlignment="1">
      <alignment horizontal="center" vertical="center"/>
    </xf>
    <xf numFmtId="0" fontId="20" fillId="0" borderId="3" xfId="3" applyFont="1" applyBorder="1" applyAlignment="1">
      <alignment vertical="center"/>
    </xf>
    <xf numFmtId="0" fontId="20" fillId="0" borderId="3" xfId="3" applyFont="1" applyBorder="1" applyAlignment="1">
      <alignment horizontal="center" vertical="center"/>
    </xf>
    <xf numFmtId="43" fontId="20" fillId="0" borderId="3" xfId="4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13" fillId="16" borderId="0" xfId="0" applyFont="1" applyFill="1" applyAlignment="1">
      <alignment horizontal="left" vertical="center" wrapText="1"/>
    </xf>
    <xf numFmtId="44" fontId="3" fillId="6" borderId="1" xfId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0" fillId="0" borderId="0" xfId="3" applyFont="1"/>
    <xf numFmtId="43" fontId="0" fillId="0" borderId="0" xfId="5" applyFont="1" applyAlignment="1">
      <alignment vertical="center"/>
    </xf>
    <xf numFmtId="43" fontId="0" fillId="0" borderId="0" xfId="0" applyNumberFormat="1" applyAlignment="1">
      <alignment vertical="center"/>
    </xf>
    <xf numFmtId="10" fontId="17" fillId="0" borderId="0" xfId="2" applyNumberFormat="1" applyFont="1" applyAlignment="1">
      <alignment vertical="center"/>
    </xf>
    <xf numFmtId="4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0" fontId="17" fillId="0" borderId="0" xfId="2" applyNumberFormat="1" applyFont="1" applyBorder="1" applyAlignment="1">
      <alignment vertical="center"/>
    </xf>
    <xf numFmtId="0" fontId="17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vertical="center"/>
    </xf>
    <xf numFmtId="0" fontId="17" fillId="22" borderId="47" xfId="0" applyFont="1" applyFill="1" applyBorder="1" applyAlignment="1">
      <alignment vertical="center"/>
    </xf>
    <xf numFmtId="10" fontId="17" fillId="0" borderId="0" xfId="2" applyNumberFormat="1" applyFont="1" applyBorder="1" applyAlignment="1">
      <alignment horizontal="center" vertical="center"/>
    </xf>
    <xf numFmtId="0" fontId="17" fillId="22" borderId="47" xfId="0" applyFont="1" applyFill="1" applyBorder="1" applyAlignment="1">
      <alignment horizontal="center" vertical="center"/>
    </xf>
    <xf numFmtId="0" fontId="29" fillId="22" borderId="47" xfId="0" applyFont="1" applyFill="1" applyBorder="1" applyAlignment="1">
      <alignment horizontal="right" vertical="center"/>
    </xf>
    <xf numFmtId="10" fontId="29" fillId="22" borderId="47" xfId="2" applyNumberFormat="1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44" fontId="31" fillId="11" borderId="1" xfId="1" applyFont="1" applyFill="1" applyBorder="1" applyAlignment="1">
      <alignment horizontal="left" vertical="center" wrapText="1"/>
    </xf>
    <xf numFmtId="44" fontId="31" fillId="11" borderId="1" xfId="1" applyFont="1" applyFill="1" applyBorder="1" applyAlignment="1">
      <alignment horizontal="right" vertical="center" wrapText="1"/>
    </xf>
    <xf numFmtId="10" fontId="29" fillId="0" borderId="47" xfId="0" applyNumberFormat="1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9" fillId="0" borderId="52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55" xfId="0" applyFont="1" applyBorder="1" applyAlignment="1">
      <alignment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44" fontId="31" fillId="11" borderId="11" xfId="1" applyFont="1" applyFill="1" applyBorder="1" applyAlignment="1">
      <alignment horizontal="left" vertical="center" wrapText="1"/>
    </xf>
    <xf numFmtId="10" fontId="29" fillId="0" borderId="9" xfId="0" applyNumberFormat="1" applyFont="1" applyBorder="1" applyAlignment="1">
      <alignment vertical="center"/>
    </xf>
    <xf numFmtId="10" fontId="29" fillId="0" borderId="55" xfId="2" applyNumberFormat="1" applyFont="1" applyBorder="1" applyAlignment="1">
      <alignment vertical="center"/>
    </xf>
    <xf numFmtId="44" fontId="31" fillId="11" borderId="10" xfId="1" applyFont="1" applyFill="1" applyBorder="1" applyAlignment="1">
      <alignment horizontal="left" vertical="center" wrapText="1"/>
    </xf>
    <xf numFmtId="0" fontId="17" fillId="22" borderId="54" xfId="0" applyFont="1" applyFill="1" applyBorder="1" applyAlignment="1">
      <alignment horizontal="center" vertical="center"/>
    </xf>
    <xf numFmtId="10" fontId="29" fillId="22" borderId="55" xfId="0" applyNumberFormat="1" applyFont="1" applyFill="1" applyBorder="1" applyAlignment="1">
      <alignment vertical="center"/>
    </xf>
    <xf numFmtId="0" fontId="17" fillId="22" borderId="5" xfId="0" applyFont="1" applyFill="1" applyBorder="1" applyAlignment="1">
      <alignment horizontal="center" vertical="center"/>
    </xf>
    <xf numFmtId="0" fontId="29" fillId="22" borderId="6" xfId="0" applyFont="1" applyFill="1" applyBorder="1" applyAlignment="1">
      <alignment horizontal="right" vertical="center"/>
    </xf>
    <xf numFmtId="0" fontId="17" fillId="22" borderId="6" xfId="0" applyFont="1" applyFill="1" applyBorder="1" applyAlignment="1">
      <alignment horizontal="center" vertical="center"/>
    </xf>
    <xf numFmtId="0" fontId="17" fillId="22" borderId="6" xfId="0" applyFont="1" applyFill="1" applyBorder="1" applyAlignment="1">
      <alignment vertical="center"/>
    </xf>
    <xf numFmtId="10" fontId="29" fillId="22" borderId="6" xfId="0" applyNumberFormat="1" applyFont="1" applyFill="1" applyBorder="1" applyAlignment="1">
      <alignment vertical="center"/>
    </xf>
    <xf numFmtId="0" fontId="29" fillId="22" borderId="7" xfId="0" applyFont="1" applyFill="1" applyBorder="1" applyAlignment="1">
      <alignment vertical="center"/>
    </xf>
    <xf numFmtId="0" fontId="4" fillId="25" borderId="10" xfId="0" applyFont="1" applyFill="1" applyBorder="1" applyAlignment="1">
      <alignment horizontal="left" vertical="center" wrapText="1"/>
    </xf>
    <xf numFmtId="0" fontId="4" fillId="25" borderId="1" xfId="0" applyFont="1" applyFill="1" applyBorder="1" applyAlignment="1">
      <alignment horizontal="center" vertical="center" wrapText="1"/>
    </xf>
    <xf numFmtId="0" fontId="4" fillId="25" borderId="1" xfId="0" applyFont="1" applyFill="1" applyBorder="1" applyAlignment="1">
      <alignment horizontal="left" vertical="center" wrapText="1"/>
    </xf>
    <xf numFmtId="0" fontId="5" fillId="25" borderId="1" xfId="0" applyFont="1" applyFill="1" applyBorder="1" applyAlignment="1">
      <alignment horizontal="right" vertical="center" wrapText="1"/>
    </xf>
    <xf numFmtId="44" fontId="4" fillId="25" borderId="1" xfId="1" applyFont="1" applyFill="1" applyBorder="1" applyAlignment="1">
      <alignment horizontal="left" vertical="center" wrapText="1"/>
    </xf>
    <xf numFmtId="44" fontId="6" fillId="25" borderId="1" xfId="1" applyFont="1" applyFill="1" applyBorder="1" applyAlignment="1">
      <alignment horizontal="right" vertical="center" wrapText="1"/>
    </xf>
    <xf numFmtId="164" fontId="7" fillId="25" borderId="11" xfId="0" applyNumberFormat="1" applyFont="1" applyFill="1" applyBorder="1" applyAlignment="1">
      <alignment horizontal="right" vertical="center" wrapText="1"/>
    </xf>
    <xf numFmtId="0" fontId="0" fillId="25" borderId="0" xfId="0" applyFill="1" applyAlignment="1">
      <alignment vertical="center"/>
    </xf>
    <xf numFmtId="0" fontId="4" fillId="7" borderId="58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5" fillId="18" borderId="8" xfId="0" applyFont="1" applyFill="1" applyBorder="1" applyAlignment="1">
      <alignment horizontal="right" vertical="center" wrapText="1"/>
    </xf>
    <xf numFmtId="0" fontId="15" fillId="18" borderId="0" xfId="0" applyFont="1" applyFill="1" applyAlignment="1">
      <alignment horizontal="right" vertical="center" wrapText="1"/>
    </xf>
    <xf numFmtId="0" fontId="13" fillId="16" borderId="0" xfId="0" applyFont="1" applyFill="1" applyAlignment="1">
      <alignment horizontal="left" vertical="center" wrapText="1"/>
    </xf>
    <xf numFmtId="4" fontId="16" fillId="19" borderId="0" xfId="0" applyNumberFormat="1" applyFont="1" applyFill="1" applyAlignment="1">
      <alignment horizontal="right" vertical="center" wrapText="1"/>
    </xf>
    <xf numFmtId="0" fontId="15" fillId="18" borderId="9" xfId="0" applyFont="1" applyFill="1" applyBorder="1" applyAlignment="1">
      <alignment horizontal="right" vertical="center" wrapText="1"/>
    </xf>
    <xf numFmtId="0" fontId="17" fillId="21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16" borderId="0" xfId="0" applyFont="1" applyFill="1" applyAlignment="1">
      <alignment horizontal="center" vertical="center" wrapText="1"/>
    </xf>
    <xf numFmtId="10" fontId="13" fillId="16" borderId="0" xfId="2" applyNumberFormat="1" applyFont="1" applyFill="1" applyBorder="1" applyAlignment="1">
      <alignment horizontal="center" vertical="center" wrapText="1"/>
    </xf>
    <xf numFmtId="0" fontId="13" fillId="16" borderId="9" xfId="0" applyFont="1" applyFill="1" applyBorder="1" applyAlignment="1">
      <alignment horizontal="center" vertical="center" wrapText="1"/>
    </xf>
    <xf numFmtId="0" fontId="22" fillId="22" borderId="19" xfId="3" applyFont="1" applyFill="1" applyBorder="1" applyAlignment="1">
      <alignment horizontal="right" vertical="center"/>
    </xf>
    <xf numFmtId="0" fontId="21" fillId="24" borderId="2" xfId="3" applyFont="1" applyFill="1" applyBorder="1" applyAlignment="1">
      <alignment horizontal="center" vertical="center"/>
    </xf>
    <xf numFmtId="0" fontId="21" fillId="24" borderId="3" xfId="3" applyFont="1" applyFill="1" applyBorder="1" applyAlignment="1">
      <alignment horizontal="center" vertical="center"/>
    </xf>
    <xf numFmtId="0" fontId="21" fillId="24" borderId="4" xfId="3" applyFont="1" applyFill="1" applyBorder="1" applyAlignment="1">
      <alignment horizontal="center" vertical="center"/>
    </xf>
    <xf numFmtId="0" fontId="21" fillId="24" borderId="38" xfId="3" applyFont="1" applyFill="1" applyBorder="1" applyAlignment="1">
      <alignment horizontal="center" vertical="center"/>
    </xf>
    <xf numFmtId="0" fontId="21" fillId="24" borderId="28" xfId="3" applyFont="1" applyFill="1" applyBorder="1" applyAlignment="1">
      <alignment horizontal="center" vertical="center"/>
    </xf>
    <xf numFmtId="0" fontId="21" fillId="24" borderId="39" xfId="3" applyFont="1" applyFill="1" applyBorder="1" applyAlignment="1">
      <alignment horizontal="center" vertical="center"/>
    </xf>
    <xf numFmtId="0" fontId="27" fillId="0" borderId="8" xfId="6" applyFont="1" applyBorder="1" applyAlignment="1">
      <alignment horizontal="left" vertical="center"/>
    </xf>
    <xf numFmtId="0" fontId="27" fillId="0" borderId="0" xfId="6" applyFont="1" applyAlignment="1">
      <alignment horizontal="left" vertical="center"/>
    </xf>
    <xf numFmtId="0" fontId="27" fillId="0" borderId="9" xfId="6" applyFont="1" applyBorder="1" applyAlignment="1">
      <alignment horizontal="left" vertical="center"/>
    </xf>
    <xf numFmtId="0" fontId="29" fillId="23" borderId="15" xfId="6" applyFont="1" applyFill="1" applyBorder="1" applyAlignment="1">
      <alignment horizontal="right" vertical="center"/>
    </xf>
    <xf numFmtId="0" fontId="29" fillId="23" borderId="16" xfId="6" applyFont="1" applyFill="1" applyBorder="1" applyAlignment="1">
      <alignment horizontal="right" vertical="center"/>
    </xf>
    <xf numFmtId="0" fontId="29" fillId="23" borderId="17" xfId="6" applyFont="1" applyFill="1" applyBorder="1" applyAlignment="1">
      <alignment horizontal="right" vertical="center"/>
    </xf>
    <xf numFmtId="0" fontId="25" fillId="0" borderId="2" xfId="6" applyFont="1" applyBorder="1" applyAlignment="1">
      <alignment horizontal="center" vertical="center"/>
    </xf>
    <xf numFmtId="0" fontId="25" fillId="0" borderId="3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5" fillId="0" borderId="8" xfId="6" applyFont="1" applyBorder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25" fillId="0" borderId="9" xfId="6" applyFont="1" applyBorder="1" applyAlignment="1">
      <alignment horizontal="center" vertical="center"/>
    </xf>
    <xf numFmtId="0" fontId="26" fillId="24" borderId="15" xfId="6" applyFont="1" applyFill="1" applyBorder="1" applyAlignment="1">
      <alignment horizontal="center" vertical="center"/>
    </xf>
    <xf numFmtId="0" fontId="26" fillId="24" borderId="16" xfId="6" applyFont="1" applyFill="1" applyBorder="1" applyAlignment="1">
      <alignment horizontal="center" vertical="center"/>
    </xf>
    <xf numFmtId="0" fontId="26" fillId="24" borderId="18" xfId="6" applyFont="1" applyFill="1" applyBorder="1" applyAlignment="1">
      <alignment horizontal="center" vertical="center"/>
    </xf>
    <xf numFmtId="0" fontId="27" fillId="0" borderId="12" xfId="6" applyFont="1" applyBorder="1" applyAlignment="1">
      <alignment horizontal="left" vertical="center" wrapText="1"/>
    </xf>
    <xf numFmtId="0" fontId="27" fillId="0" borderId="13" xfId="6" applyFont="1" applyBorder="1" applyAlignment="1">
      <alignment horizontal="left" vertical="center" wrapText="1"/>
    </xf>
    <xf numFmtId="0" fontId="27" fillId="0" borderId="14" xfId="6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</cellXfs>
  <cellStyles count="7">
    <cellStyle name="Moeda" xfId="1" builtinId="4"/>
    <cellStyle name="Normal" xfId="0" builtinId="0"/>
    <cellStyle name="Normal 2" xfId="3" xr:uid="{48B8021D-4907-495E-909A-8D4DF8A9414A}"/>
    <cellStyle name="Normal 2 2" xfId="6" xr:uid="{A996A442-6D44-4B20-9181-11D19273DDA6}"/>
    <cellStyle name="Porcentagem" xfId="2" builtinId="5"/>
    <cellStyle name="Vírgula" xfId="5" builtinId="3"/>
    <cellStyle name="Vírgula 2" xfId="4" xr:uid="{C851EFE7-7933-49AD-9C74-B003FBCC42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24144</xdr:colOff>
      <xdr:row>3</xdr:row>
      <xdr:rowOff>33618</xdr:rowOff>
    </xdr:from>
    <xdr:to>
      <xdr:col>13</xdr:col>
      <xdr:colOff>1065431</xdr:colOff>
      <xdr:row>13</xdr:row>
      <xdr:rowOff>89649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FF29F4A4-D0FC-44FD-9510-353F1A992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91640"/>
        <a:stretch>
          <a:fillRect/>
        </a:stretch>
      </xdr:blipFill>
      <xdr:spPr bwMode="auto">
        <a:xfrm>
          <a:off x="707703" y="515471"/>
          <a:ext cx="11922199" cy="1624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333500" cy="4667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28576</xdr:rowOff>
    </xdr:from>
    <xdr:to>
      <xdr:col>8</xdr:col>
      <xdr:colOff>657226</xdr:colOff>
      <xdr:row>10</xdr:row>
      <xdr:rowOff>152401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BF348527-190D-4EA9-A3A5-A580A718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91640"/>
        <a:stretch>
          <a:fillRect/>
        </a:stretch>
      </xdr:blipFill>
      <xdr:spPr bwMode="auto">
        <a:xfrm>
          <a:off x="714375" y="523876"/>
          <a:ext cx="8924926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28574</xdr:rowOff>
    </xdr:from>
    <xdr:to>
      <xdr:col>5</xdr:col>
      <xdr:colOff>2343149</xdr:colOff>
      <xdr:row>2</xdr:row>
      <xdr:rowOff>895350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52F0CE3C-4A6A-4C7D-B00A-30CC0590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91640"/>
        <a:stretch>
          <a:fillRect/>
        </a:stretch>
      </xdr:blipFill>
      <xdr:spPr bwMode="auto">
        <a:xfrm>
          <a:off x="790575" y="219074"/>
          <a:ext cx="7953374" cy="105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9526</xdr:rowOff>
    </xdr:from>
    <xdr:to>
      <xdr:col>8</xdr:col>
      <xdr:colOff>942975</xdr:colOff>
      <xdr:row>6</xdr:row>
      <xdr:rowOff>238125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E53386EB-B44B-4563-9BB7-A3ED2D3C2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91640"/>
        <a:stretch>
          <a:fillRect/>
        </a:stretch>
      </xdr:blipFill>
      <xdr:spPr bwMode="auto">
        <a:xfrm>
          <a:off x="704850" y="180976"/>
          <a:ext cx="84010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2D49-A81A-41D1-A91B-48B1E715D0CE}">
  <dimension ref="B3:N48"/>
  <sheetViews>
    <sheetView view="pageBreakPreview" topLeftCell="C1" zoomScale="85" zoomScaleNormal="85" zoomScaleSheetLayoutView="85" workbookViewId="0">
      <selection activeCell="E15" sqref="E15:N15"/>
    </sheetView>
  </sheetViews>
  <sheetFormatPr defaultRowHeight="12.75" x14ac:dyDescent="0.2"/>
  <cols>
    <col min="1" max="2" width="0" style="26" hidden="1" customWidth="1"/>
    <col min="3" max="3" width="9" style="26"/>
    <col min="4" max="4" width="9" style="27"/>
    <col min="5" max="5" width="33.875" style="26" customWidth="1"/>
    <col min="6" max="6" width="9" style="27"/>
    <col min="7" max="7" width="9" style="26"/>
    <col min="8" max="8" width="13" style="26" customWidth="1"/>
    <col min="9" max="9" width="12.875" style="26" customWidth="1"/>
    <col min="10" max="10" width="13" style="26" customWidth="1"/>
    <col min="11" max="11" width="13.875" style="26" customWidth="1"/>
    <col min="12" max="13" width="14.75" style="26" customWidth="1"/>
    <col min="14" max="14" width="16.25" style="158" customWidth="1"/>
    <col min="15" max="16384" width="9" style="26"/>
  </cols>
  <sheetData>
    <row r="3" spans="4:14" ht="13.5" thickBot="1" x14ac:dyDescent="0.25"/>
    <row r="4" spans="4:14" x14ac:dyDescent="0.2">
      <c r="D4" s="163"/>
      <c r="E4" s="83"/>
      <c r="F4" s="82"/>
      <c r="G4" s="83"/>
      <c r="H4" s="83"/>
      <c r="I4" s="83"/>
      <c r="J4" s="83"/>
      <c r="K4" s="83"/>
      <c r="L4" s="83"/>
      <c r="M4" s="83"/>
      <c r="N4" s="164"/>
    </row>
    <row r="5" spans="4:14" x14ac:dyDescent="0.2">
      <c r="D5" s="165"/>
      <c r="N5" s="166"/>
    </row>
    <row r="6" spans="4:14" x14ac:dyDescent="0.2">
      <c r="D6" s="165"/>
      <c r="N6" s="166"/>
    </row>
    <row r="7" spans="4:14" x14ac:dyDescent="0.2">
      <c r="D7" s="165"/>
      <c r="N7" s="166"/>
    </row>
    <row r="8" spans="4:14" x14ac:dyDescent="0.2">
      <c r="D8" s="165"/>
      <c r="N8" s="166"/>
    </row>
    <row r="9" spans="4:14" x14ac:dyDescent="0.2">
      <c r="D9" s="165"/>
      <c r="N9" s="166"/>
    </row>
    <row r="10" spans="4:14" x14ac:dyDescent="0.2">
      <c r="D10" s="165"/>
      <c r="N10" s="166"/>
    </row>
    <row r="11" spans="4:14" x14ac:dyDescent="0.2">
      <c r="D11" s="165"/>
      <c r="N11" s="166"/>
    </row>
    <row r="12" spans="4:14" x14ac:dyDescent="0.2">
      <c r="D12" s="165"/>
      <c r="N12" s="166"/>
    </row>
    <row r="13" spans="4:14" x14ac:dyDescent="0.2">
      <c r="D13" s="165"/>
      <c r="N13" s="166"/>
    </row>
    <row r="14" spans="4:14" ht="9.75" customHeight="1" x14ac:dyDescent="0.2">
      <c r="D14" s="165"/>
      <c r="N14" s="166"/>
    </row>
    <row r="15" spans="4:14" x14ac:dyDescent="0.2">
      <c r="D15" s="167" t="s">
        <v>203</v>
      </c>
      <c r="E15" s="202" t="str">
        <f>PLAN!E3</f>
        <v>LOTE I - IMPLANTAÇÃO DE PAVIMENTAÇÃO EM PARALELEPÍPEDOS GRANÍTICOS – EMENDA PARLAMENTAR 202427180004</v>
      </c>
      <c r="F15" s="202"/>
      <c r="G15" s="202"/>
      <c r="H15" s="202"/>
      <c r="I15" s="202"/>
      <c r="J15" s="202"/>
      <c r="K15" s="202"/>
      <c r="L15" s="202"/>
      <c r="M15" s="202"/>
      <c r="N15" s="203"/>
    </row>
    <row r="16" spans="4:14" x14ac:dyDescent="0.2">
      <c r="D16" s="168" t="s">
        <v>205</v>
      </c>
      <c r="E16" s="158" t="str">
        <f>PLAN!F3</f>
        <v>SINAPI - 06/2024    PRÓPRIO</v>
      </c>
      <c r="F16" s="204" t="s">
        <v>206</v>
      </c>
      <c r="G16" s="204"/>
      <c r="H16" s="204"/>
      <c r="N16" s="166"/>
    </row>
    <row r="17" spans="4:14" x14ac:dyDescent="0.2">
      <c r="D17" s="169" t="s">
        <v>204</v>
      </c>
      <c r="E17" s="161">
        <f>PLAN!H3</f>
        <v>0.2009</v>
      </c>
      <c r="F17" s="162"/>
      <c r="G17" s="151"/>
      <c r="H17" s="151"/>
      <c r="I17" s="151"/>
      <c r="J17" s="151"/>
      <c r="K17" s="151"/>
      <c r="L17" s="151"/>
      <c r="M17" s="151"/>
      <c r="N17" s="170"/>
    </row>
    <row r="18" spans="4:14" ht="27.75" customHeight="1" x14ac:dyDescent="0.2">
      <c r="D18" s="199" t="s">
        <v>202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1"/>
    </row>
    <row r="19" spans="4:14" s="27" customFormat="1" x14ac:dyDescent="0.2">
      <c r="D19" s="171" t="s">
        <v>76</v>
      </c>
      <c r="E19" s="157" t="s">
        <v>77</v>
      </c>
      <c r="F19" s="157" t="s">
        <v>189</v>
      </c>
      <c r="G19" s="157"/>
      <c r="H19" s="157" t="s">
        <v>192</v>
      </c>
      <c r="I19" s="157" t="s">
        <v>193</v>
      </c>
      <c r="J19" s="157" t="s">
        <v>194</v>
      </c>
      <c r="K19" s="157" t="s">
        <v>195</v>
      </c>
      <c r="L19" s="157" t="s">
        <v>196</v>
      </c>
      <c r="M19" s="157" t="s">
        <v>197</v>
      </c>
      <c r="N19" s="172" t="s">
        <v>82</v>
      </c>
    </row>
    <row r="20" spans="4:14" x14ac:dyDescent="0.2">
      <c r="D20" s="193" t="str">
        <f>PLAN!B6</f>
        <v xml:space="preserve"> 1 </v>
      </c>
      <c r="E20" s="196" t="str">
        <f>PLAN!E6</f>
        <v>SERVIÇOS PRELIMINARES</v>
      </c>
      <c r="F20" s="159" t="s">
        <v>190</v>
      </c>
      <c r="G20" s="159"/>
      <c r="H20" s="159">
        <f>PLAN!K7+(PLAN!K8*CFF!B48)</f>
        <v>15679.005000000001</v>
      </c>
      <c r="I20" s="159">
        <f>PLAN!$K$8*CFF!$B$48</f>
        <v>11941.705</v>
      </c>
      <c r="J20" s="159">
        <f>PLAN!$K$8*CFF!$B$48</f>
        <v>11941.705</v>
      </c>
      <c r="K20" s="159">
        <f>PLAN!$K$8*CFF!$B$48</f>
        <v>11941.705</v>
      </c>
      <c r="L20" s="159">
        <f>PLAN!$K$8*CFF!$B$48</f>
        <v>11941.705</v>
      </c>
      <c r="M20" s="159">
        <f>PLAN!$K$8*CFF!$B$48</f>
        <v>11941.705</v>
      </c>
      <c r="N20" s="173">
        <f>SUM(H20:M20)</f>
        <v>75387.53</v>
      </c>
    </row>
    <row r="21" spans="4:14" x14ac:dyDescent="0.2">
      <c r="D21" s="194"/>
      <c r="E21" s="197"/>
      <c r="F21" s="27" t="s">
        <v>191</v>
      </c>
      <c r="H21" s="149">
        <f t="shared" ref="H21:M21" si="0">H20/$N$20</f>
        <v>0.2079787598824368</v>
      </c>
      <c r="I21" s="149">
        <f t="shared" si="0"/>
        <v>0.15840424802351263</v>
      </c>
      <c r="J21" s="149">
        <f t="shared" si="0"/>
        <v>0.15840424802351263</v>
      </c>
      <c r="K21" s="149">
        <f t="shared" si="0"/>
        <v>0.15840424802351263</v>
      </c>
      <c r="L21" s="149">
        <f t="shared" si="0"/>
        <v>0.15840424802351263</v>
      </c>
      <c r="M21" s="149">
        <f t="shared" si="0"/>
        <v>0.15840424802351263</v>
      </c>
      <c r="N21" s="174">
        <f>SUM(H21:M21)</f>
        <v>0.99999999999999989</v>
      </c>
    </row>
    <row r="22" spans="4:14" x14ac:dyDescent="0.2">
      <c r="D22" s="195"/>
      <c r="E22" s="198"/>
      <c r="F22" s="150"/>
      <c r="G22" s="151"/>
      <c r="H22" s="152"/>
      <c r="I22" s="152"/>
      <c r="J22" s="152"/>
      <c r="K22" s="152"/>
      <c r="L22" s="152"/>
      <c r="M22" s="152"/>
      <c r="N22" s="175"/>
    </row>
    <row r="23" spans="4:14" x14ac:dyDescent="0.2">
      <c r="D23" s="193" t="str">
        <f>PLAN!B9</f>
        <v xml:space="preserve"> 2 </v>
      </c>
      <c r="E23" s="196" t="str">
        <f>PLAN!E9</f>
        <v>ESTRADA VILA DE IMBIRUÇU</v>
      </c>
      <c r="F23" s="159" t="s">
        <v>190</v>
      </c>
      <c r="G23" s="159"/>
      <c r="H23" s="159">
        <f>PLAN!K9*0.65</f>
        <v>213237.66100000002</v>
      </c>
      <c r="I23" s="159">
        <f>PLAN!K9*0.35</f>
        <v>114820.27899999999</v>
      </c>
      <c r="J23" s="159"/>
      <c r="K23" s="159"/>
      <c r="L23" s="159"/>
      <c r="M23" s="159"/>
      <c r="N23" s="173">
        <f>SUM(H23:M23)</f>
        <v>328057.94</v>
      </c>
    </row>
    <row r="24" spans="4:14" x14ac:dyDescent="0.2">
      <c r="D24" s="194"/>
      <c r="E24" s="197"/>
      <c r="F24" s="27" t="s">
        <v>191</v>
      </c>
      <c r="H24" s="153">
        <f>H23/$N$23</f>
        <v>0.65</v>
      </c>
      <c r="I24" s="153">
        <f>I23/$N$23</f>
        <v>0.35</v>
      </c>
      <c r="N24" s="174">
        <f>SUM(G24:M24)</f>
        <v>1</v>
      </c>
    </row>
    <row r="25" spans="4:14" x14ac:dyDescent="0.2">
      <c r="D25" s="195"/>
      <c r="E25" s="198"/>
      <c r="F25" s="150"/>
      <c r="G25" s="151"/>
      <c r="H25" s="152"/>
      <c r="I25" s="152"/>
      <c r="J25" s="151"/>
      <c r="K25" s="151"/>
      <c r="L25" s="151"/>
      <c r="M25" s="151"/>
      <c r="N25" s="170"/>
    </row>
    <row r="26" spans="4:14" x14ac:dyDescent="0.2">
      <c r="D26" s="193" t="str">
        <f>PLAN!B13</f>
        <v xml:space="preserve"> 3 </v>
      </c>
      <c r="E26" s="196" t="str">
        <f>PLAN!E13</f>
        <v>BAIRRO MOACIR SOARES</v>
      </c>
      <c r="F26" s="159" t="s">
        <v>190</v>
      </c>
      <c r="G26" s="159"/>
      <c r="H26" s="159"/>
      <c r="I26" s="159">
        <f>PLAN!K13</f>
        <v>106648.78</v>
      </c>
      <c r="J26" s="159"/>
      <c r="K26" s="159"/>
      <c r="L26" s="159"/>
      <c r="M26" s="159"/>
      <c r="N26" s="173">
        <f>SUM(H26:M26)</f>
        <v>106648.78</v>
      </c>
    </row>
    <row r="27" spans="4:14" x14ac:dyDescent="0.2">
      <c r="D27" s="194"/>
      <c r="E27" s="197"/>
      <c r="F27" s="27" t="s">
        <v>191</v>
      </c>
      <c r="I27" s="153">
        <f>I26/N26</f>
        <v>1</v>
      </c>
      <c r="N27" s="174">
        <f>SUM(G27:M27)</f>
        <v>1</v>
      </c>
    </row>
    <row r="28" spans="4:14" x14ac:dyDescent="0.2">
      <c r="D28" s="195"/>
      <c r="E28" s="198"/>
      <c r="F28" s="150"/>
      <c r="G28" s="151"/>
      <c r="H28" s="151"/>
      <c r="I28" s="152"/>
      <c r="J28" s="151"/>
      <c r="K28" s="151"/>
      <c r="L28" s="151"/>
      <c r="M28" s="151"/>
      <c r="N28" s="170"/>
    </row>
    <row r="29" spans="4:14" x14ac:dyDescent="0.2">
      <c r="D29" s="193" t="str">
        <f>PLAN!B19</f>
        <v xml:space="preserve"> 4 </v>
      </c>
      <c r="E29" s="196" t="str">
        <f>PLAN!E19</f>
        <v>BAIRRO SANTO ANTONIO</v>
      </c>
      <c r="F29" s="159" t="s">
        <v>190</v>
      </c>
      <c r="G29" s="159"/>
      <c r="H29" s="159"/>
      <c r="I29" s="159"/>
      <c r="J29" s="159">
        <f>PLAN!K19*0.25</f>
        <v>206799.77499999999</v>
      </c>
      <c r="K29" s="159">
        <f>PLAN!K19*0.3</f>
        <v>248159.72999999998</v>
      </c>
      <c r="L29" s="159">
        <f>PLAN!K19*0.25</f>
        <v>206799.77499999999</v>
      </c>
      <c r="M29" s="159">
        <f>PLAN!K19*0.2</f>
        <v>165439.82</v>
      </c>
      <c r="N29" s="173">
        <f>SUM(H29:M29)</f>
        <v>827199.10000000009</v>
      </c>
    </row>
    <row r="30" spans="4:14" x14ac:dyDescent="0.2">
      <c r="D30" s="194"/>
      <c r="E30" s="197"/>
      <c r="F30" s="27" t="s">
        <v>191</v>
      </c>
      <c r="J30" s="153">
        <f>J29/$N$29</f>
        <v>0.24999999999999997</v>
      </c>
      <c r="K30" s="153">
        <f>K29/$N$29</f>
        <v>0.29999999999999993</v>
      </c>
      <c r="L30" s="153">
        <f>L29/$N$29</f>
        <v>0.24999999999999997</v>
      </c>
      <c r="M30" s="153">
        <f>M29/$N$29</f>
        <v>0.19999999999999998</v>
      </c>
      <c r="N30" s="174">
        <f>SUM(G30:M30)</f>
        <v>0.99999999999999989</v>
      </c>
    </row>
    <row r="31" spans="4:14" x14ac:dyDescent="0.2">
      <c r="D31" s="195"/>
      <c r="E31" s="198"/>
      <c r="F31" s="150"/>
      <c r="G31" s="151"/>
      <c r="H31" s="151"/>
      <c r="I31" s="151"/>
      <c r="J31" s="152"/>
      <c r="K31" s="152"/>
      <c r="L31" s="152"/>
      <c r="M31" s="152"/>
      <c r="N31" s="170"/>
    </row>
    <row r="32" spans="4:14" x14ac:dyDescent="0.2">
      <c r="D32" s="193">
        <f>PLAN!B50</f>
        <v>5</v>
      </c>
      <c r="E32" s="196" t="str">
        <f>PLAN!E50</f>
        <v>BAIRRO NOVO HORIZONTE</v>
      </c>
      <c r="F32" s="159" t="s">
        <v>190</v>
      </c>
      <c r="G32" s="159"/>
      <c r="H32" s="159"/>
      <c r="I32" s="159"/>
      <c r="J32" s="159">
        <f>PLAN!K50</f>
        <v>60724.5</v>
      </c>
      <c r="K32" s="159"/>
      <c r="L32" s="159"/>
      <c r="M32" s="159"/>
      <c r="N32" s="173">
        <f>SUM(H32:M32)</f>
        <v>60724.5</v>
      </c>
    </row>
    <row r="33" spans="2:14" x14ac:dyDescent="0.2">
      <c r="D33" s="194"/>
      <c r="E33" s="197"/>
      <c r="F33" s="27" t="s">
        <v>191</v>
      </c>
      <c r="J33" s="153">
        <f>J32/N32</f>
        <v>1</v>
      </c>
      <c r="K33" s="153"/>
      <c r="L33" s="153"/>
      <c r="M33" s="153"/>
      <c r="N33" s="174">
        <f>SUM(G33:M33)</f>
        <v>1</v>
      </c>
    </row>
    <row r="34" spans="2:14" x14ac:dyDescent="0.2">
      <c r="D34" s="195"/>
      <c r="E34" s="198"/>
      <c r="F34" s="150"/>
      <c r="G34" s="151"/>
      <c r="H34" s="151"/>
      <c r="I34" s="151"/>
      <c r="J34" s="151"/>
      <c r="K34" s="151"/>
      <c r="L34" s="151"/>
      <c r="M34" s="151"/>
      <c r="N34" s="170"/>
    </row>
    <row r="35" spans="2:14" x14ac:dyDescent="0.2">
      <c r="D35" s="193">
        <f>PLAN!B61</f>
        <v>6</v>
      </c>
      <c r="E35" s="196" t="str">
        <f>PLAN!E61</f>
        <v>BAIRRO MARIA JOSEFA</v>
      </c>
      <c r="F35" s="159" t="s">
        <v>190</v>
      </c>
      <c r="G35" s="159"/>
      <c r="H35" s="159"/>
      <c r="I35" s="159"/>
      <c r="J35" s="159"/>
      <c r="K35" s="159"/>
      <c r="L35" s="159">
        <f>PLAN!K61*0.6</f>
        <v>67794.62999999999</v>
      </c>
      <c r="M35" s="159">
        <f>PLAN!K61*0.4</f>
        <v>45196.42</v>
      </c>
      <c r="N35" s="173">
        <f>SUM(H35:M35)</f>
        <v>112991.04999999999</v>
      </c>
    </row>
    <row r="36" spans="2:14" x14ac:dyDescent="0.2">
      <c r="D36" s="194"/>
      <c r="E36" s="197"/>
      <c r="F36" s="27" t="s">
        <v>191</v>
      </c>
      <c r="K36" s="149"/>
      <c r="L36" s="149">
        <f>L35/$N$35</f>
        <v>0.6</v>
      </c>
      <c r="M36" s="149">
        <f>M35/$N$35</f>
        <v>0.4</v>
      </c>
      <c r="N36" s="174">
        <f>SUM(G36:M36)</f>
        <v>1</v>
      </c>
    </row>
    <row r="37" spans="2:14" x14ac:dyDescent="0.2">
      <c r="D37" s="195"/>
      <c r="E37" s="198"/>
      <c r="F37" s="150"/>
      <c r="G37" s="151"/>
      <c r="H37" s="151"/>
      <c r="I37" s="151"/>
      <c r="J37" s="151"/>
      <c r="K37" s="151"/>
      <c r="L37" s="152"/>
      <c r="M37" s="152"/>
      <c r="N37" s="170"/>
    </row>
    <row r="38" spans="2:14" x14ac:dyDescent="0.2">
      <c r="D38" s="193">
        <f>PLAN!B72</f>
        <v>7</v>
      </c>
      <c r="E38" s="196" t="str">
        <f>PLAN!E72</f>
        <v>LAJE DE SÃO JOSÉ</v>
      </c>
      <c r="F38" s="159" t="s">
        <v>190</v>
      </c>
      <c r="G38" s="159"/>
      <c r="H38" s="159"/>
      <c r="I38" s="159"/>
      <c r="J38" s="159"/>
      <c r="K38" s="159"/>
      <c r="L38" s="159"/>
      <c r="M38" s="159">
        <f>PLAN!K72</f>
        <v>65557.26999999999</v>
      </c>
      <c r="N38" s="173">
        <f>SUM(H38:M38)</f>
        <v>65557.26999999999</v>
      </c>
    </row>
    <row r="39" spans="2:14" x14ac:dyDescent="0.2">
      <c r="D39" s="194"/>
      <c r="E39" s="197"/>
      <c r="F39" s="27" t="s">
        <v>191</v>
      </c>
      <c r="M39" s="149">
        <f>M38/N38</f>
        <v>1</v>
      </c>
      <c r="N39" s="174">
        <f>SUM(G39:M39)</f>
        <v>1</v>
      </c>
    </row>
    <row r="40" spans="2:14" x14ac:dyDescent="0.2">
      <c r="D40" s="195"/>
      <c r="E40" s="198"/>
      <c r="F40" s="150"/>
      <c r="G40" s="151"/>
      <c r="H40" s="151"/>
      <c r="I40" s="151"/>
      <c r="J40" s="151"/>
      <c r="K40" s="151"/>
      <c r="L40" s="151"/>
      <c r="M40" s="152"/>
      <c r="N40" s="170"/>
    </row>
    <row r="41" spans="2:14" x14ac:dyDescent="0.2">
      <c r="D41" s="176"/>
      <c r="E41" s="160" t="s">
        <v>198</v>
      </c>
      <c r="F41" s="159"/>
      <c r="G41" s="159"/>
      <c r="H41" s="159">
        <f>SUM(H38+H35+H32+H29+H26+H23+H20)</f>
        <v>228916.66600000003</v>
      </c>
      <c r="I41" s="159">
        <f t="shared" ref="I41:M41" si="1">SUM(I38+I35+I32+I29+I26+I23+I20)</f>
        <v>233410.764</v>
      </c>
      <c r="J41" s="159">
        <f t="shared" si="1"/>
        <v>279465.98000000004</v>
      </c>
      <c r="K41" s="159">
        <f t="shared" si="1"/>
        <v>260101.43499999997</v>
      </c>
      <c r="L41" s="159">
        <f t="shared" si="1"/>
        <v>286536.11</v>
      </c>
      <c r="M41" s="159">
        <f t="shared" si="1"/>
        <v>288135.21500000003</v>
      </c>
      <c r="N41" s="173">
        <f>SUM(H41:M41)</f>
        <v>1576566.1700000002</v>
      </c>
    </row>
    <row r="42" spans="2:14" x14ac:dyDescent="0.2">
      <c r="D42" s="177"/>
      <c r="E42" s="155" t="s">
        <v>199</v>
      </c>
      <c r="F42" s="154"/>
      <c r="G42" s="152"/>
      <c r="H42" s="156">
        <f t="shared" ref="H42:M42" si="2">H41/$N$41</f>
        <v>0.14519952943047104</v>
      </c>
      <c r="I42" s="156">
        <f t="shared" si="2"/>
        <v>0.14805009040629102</v>
      </c>
      <c r="J42" s="156">
        <f t="shared" si="2"/>
        <v>0.17726244880669995</v>
      </c>
      <c r="K42" s="156">
        <f t="shared" si="2"/>
        <v>0.16497971347437954</v>
      </c>
      <c r="L42" s="156">
        <f t="shared" si="2"/>
        <v>0.1817469608649537</v>
      </c>
      <c r="M42" s="156">
        <f t="shared" si="2"/>
        <v>0.18276125701720466</v>
      </c>
      <c r="N42" s="178">
        <f>SUM(H42:M42)</f>
        <v>0.99999999999999989</v>
      </c>
    </row>
    <row r="43" spans="2:14" x14ac:dyDescent="0.2">
      <c r="D43" s="176"/>
      <c r="E43" s="160" t="s">
        <v>200</v>
      </c>
      <c r="F43" s="159"/>
      <c r="G43" s="159"/>
      <c r="H43" s="159">
        <f>H41</f>
        <v>228916.66600000003</v>
      </c>
      <c r="I43" s="159">
        <f t="shared" ref="I43:M44" si="3">H43+I41</f>
        <v>462327.43000000005</v>
      </c>
      <c r="J43" s="159">
        <f t="shared" si="3"/>
        <v>741793.41000000015</v>
      </c>
      <c r="K43" s="159">
        <f t="shared" si="3"/>
        <v>1001894.8450000001</v>
      </c>
      <c r="L43" s="159">
        <f t="shared" si="3"/>
        <v>1288430.9550000001</v>
      </c>
      <c r="M43" s="159">
        <f t="shared" si="3"/>
        <v>1576566.1700000002</v>
      </c>
      <c r="N43" s="173"/>
    </row>
    <row r="44" spans="2:14" ht="13.5" thickBot="1" x14ac:dyDescent="0.25">
      <c r="D44" s="179"/>
      <c r="E44" s="180" t="s">
        <v>201</v>
      </c>
      <c r="F44" s="181"/>
      <c r="G44" s="182"/>
      <c r="H44" s="183">
        <f>H42</f>
        <v>0.14519952943047104</v>
      </c>
      <c r="I44" s="183">
        <f t="shared" si="3"/>
        <v>0.29324961983676207</v>
      </c>
      <c r="J44" s="183">
        <f t="shared" si="3"/>
        <v>0.47051206864346201</v>
      </c>
      <c r="K44" s="183">
        <f t="shared" si="3"/>
        <v>0.63549178211784152</v>
      </c>
      <c r="L44" s="183">
        <f t="shared" si="3"/>
        <v>0.8172387429827952</v>
      </c>
      <c r="M44" s="183">
        <f t="shared" si="3"/>
        <v>0.99999999999999989</v>
      </c>
      <c r="N44" s="184"/>
    </row>
    <row r="45" spans="2:14" x14ac:dyDescent="0.2">
      <c r="H45" s="146"/>
      <c r="I45" s="146"/>
      <c r="J45" s="146"/>
      <c r="K45" s="146"/>
      <c r="L45" s="146"/>
      <c r="M45" s="146"/>
    </row>
    <row r="48" spans="2:14" x14ac:dyDescent="0.2">
      <c r="B48" s="26">
        <v>0.16666666666666669</v>
      </c>
    </row>
  </sheetData>
  <mergeCells count="17">
    <mergeCell ref="E15:N15"/>
    <mergeCell ref="F16:H16"/>
    <mergeCell ref="D29:D31"/>
    <mergeCell ref="E29:E31"/>
    <mergeCell ref="D32:D34"/>
    <mergeCell ref="E32:E34"/>
    <mergeCell ref="D23:D25"/>
    <mergeCell ref="E23:E25"/>
    <mergeCell ref="D20:D22"/>
    <mergeCell ref="E20:E22"/>
    <mergeCell ref="D26:D28"/>
    <mergeCell ref="E26:E28"/>
    <mergeCell ref="D38:D40"/>
    <mergeCell ref="E38:E40"/>
    <mergeCell ref="D18:N18"/>
    <mergeCell ref="D35:D37"/>
    <mergeCell ref="E35:E37"/>
  </mergeCells>
  <phoneticPr fontId="32" type="noConversion"/>
  <printOptions horizontalCentered="1"/>
  <pageMargins left="0.19685039370078741" right="0.15748031496062992" top="0.51181102362204722" bottom="0.78740157480314965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8"/>
  <sheetViews>
    <sheetView tabSelected="1" showOutlineSymbols="0" showWhiteSpace="0" view="pageBreakPreview" topLeftCell="A4" zoomScale="85" zoomScaleNormal="85" zoomScaleSheetLayoutView="85" workbookViewId="0">
      <selection activeCell="G9" sqref="G9"/>
    </sheetView>
  </sheetViews>
  <sheetFormatPr defaultRowHeight="14.25" x14ac:dyDescent="0.2"/>
  <cols>
    <col min="1" max="1" width="9" style="35"/>
    <col min="2" max="2" width="10" style="35" bestFit="1" customWidth="1"/>
    <col min="3" max="3" width="10" style="29" bestFit="1" customWidth="1"/>
    <col min="4" max="4" width="13.25" style="29" bestFit="1" customWidth="1"/>
    <col min="5" max="5" width="60" style="35" bestFit="1" customWidth="1"/>
    <col min="6" max="6" width="8" style="35" bestFit="1" customWidth="1"/>
    <col min="7" max="7" width="13" style="35" bestFit="1" customWidth="1"/>
    <col min="8" max="9" width="13" style="36" bestFit="1" customWidth="1"/>
    <col min="10" max="10" width="13" style="36" hidden="1" customWidth="1"/>
    <col min="11" max="11" width="13" style="36" bestFit="1" customWidth="1"/>
    <col min="12" max="12" width="13" style="35" bestFit="1" customWidth="1"/>
    <col min="13" max="13" width="13.125" style="35" bestFit="1" customWidth="1"/>
    <col min="14" max="16384" width="9" style="35"/>
  </cols>
  <sheetData>
    <row r="1" spans="2:14" ht="15" thickBot="1" x14ac:dyDescent="0.25"/>
    <row r="2" spans="2:14" ht="15" x14ac:dyDescent="0.2">
      <c r="B2" s="37"/>
      <c r="C2" s="30"/>
      <c r="D2" s="30"/>
      <c r="E2" s="38" t="s">
        <v>146</v>
      </c>
      <c r="F2" s="216" t="s">
        <v>0</v>
      </c>
      <c r="G2" s="216"/>
      <c r="H2" s="217" t="s">
        <v>145</v>
      </c>
      <c r="I2" s="217"/>
      <c r="J2" s="39"/>
      <c r="K2" s="216" t="s">
        <v>1</v>
      </c>
      <c r="L2" s="218"/>
    </row>
    <row r="3" spans="2:14" ht="80.099999999999994" customHeight="1" x14ac:dyDescent="0.2">
      <c r="B3" s="40"/>
      <c r="C3" s="8"/>
      <c r="D3" s="8"/>
      <c r="E3" s="136" t="s">
        <v>208</v>
      </c>
      <c r="F3" s="219" t="s">
        <v>137</v>
      </c>
      <c r="G3" s="219"/>
      <c r="H3" s="220">
        <f>'BDI N DESON '!F39</f>
        <v>0.2009</v>
      </c>
      <c r="I3" s="220"/>
      <c r="J3" s="41"/>
      <c r="K3" s="219" t="s">
        <v>2</v>
      </c>
      <c r="L3" s="221"/>
    </row>
    <row r="4" spans="2:14" ht="18" customHeight="1" x14ac:dyDescent="0.2">
      <c r="B4" s="213" t="s">
        <v>147</v>
      </c>
      <c r="C4" s="214"/>
      <c r="D4" s="214"/>
      <c r="E4" s="214"/>
      <c r="F4" s="214"/>
      <c r="G4" s="214"/>
      <c r="H4" s="214"/>
      <c r="I4" s="214"/>
      <c r="J4" s="214"/>
      <c r="K4" s="214"/>
      <c r="L4" s="215"/>
    </row>
    <row r="5" spans="2:14" s="29" customFormat="1" ht="30" customHeight="1" x14ac:dyDescent="0.2">
      <c r="B5" s="138" t="s">
        <v>76</v>
      </c>
      <c r="C5" s="139" t="s">
        <v>129</v>
      </c>
      <c r="D5" s="140" t="s">
        <v>130</v>
      </c>
      <c r="E5" s="140" t="s">
        <v>77</v>
      </c>
      <c r="F5" s="141" t="s">
        <v>140</v>
      </c>
      <c r="G5" s="139" t="s">
        <v>141</v>
      </c>
      <c r="H5" s="137" t="s">
        <v>142</v>
      </c>
      <c r="I5" s="137" t="s">
        <v>143</v>
      </c>
      <c r="J5" s="137" t="s">
        <v>72</v>
      </c>
      <c r="K5" s="137" t="s">
        <v>82</v>
      </c>
      <c r="L5" s="142" t="s">
        <v>144</v>
      </c>
    </row>
    <row r="6" spans="2:14" ht="24" customHeight="1" x14ac:dyDescent="0.2">
      <c r="B6" s="42" t="s">
        <v>3</v>
      </c>
      <c r="C6" s="31"/>
      <c r="D6" s="31"/>
      <c r="E6" s="43" t="s">
        <v>4</v>
      </c>
      <c r="F6" s="43"/>
      <c r="G6" s="44"/>
      <c r="H6" s="45"/>
      <c r="I6" s="45"/>
      <c r="J6" s="46">
        <f>SUM(J7:J8)</f>
        <v>63005.299999999996</v>
      </c>
      <c r="K6" s="46">
        <f>SUM(K7:K8)</f>
        <v>75387.53</v>
      </c>
      <c r="L6" s="47">
        <f t="shared" ref="L6:L49" si="0">K6/$I$86</f>
        <v>4.781754894563036E-2</v>
      </c>
    </row>
    <row r="7" spans="2:14" ht="39" customHeight="1" x14ac:dyDescent="0.2">
      <c r="B7" s="48" t="s">
        <v>5</v>
      </c>
      <c r="C7" s="49" t="s">
        <v>6</v>
      </c>
      <c r="D7" s="32" t="s">
        <v>7</v>
      </c>
      <c r="E7" s="50" t="s">
        <v>8</v>
      </c>
      <c r="F7" s="51" t="s">
        <v>9</v>
      </c>
      <c r="G7" s="52">
        <f>MC!H21</f>
        <v>10</v>
      </c>
      <c r="H7" s="53">
        <v>311.20999999999998</v>
      </c>
      <c r="I7" s="53">
        <f>TRUNC((H7*($H$3+1)),2)</f>
        <v>373.73</v>
      </c>
      <c r="J7" s="53">
        <f>TRUNC((G7*H7),2)</f>
        <v>3112.1</v>
      </c>
      <c r="K7" s="53">
        <f>TRUNC((G7*I7),2)</f>
        <v>3737.3</v>
      </c>
      <c r="L7" s="54">
        <f t="shared" si="0"/>
        <v>2.3705316472698384E-3</v>
      </c>
    </row>
    <row r="8" spans="2:14" ht="24" customHeight="1" x14ac:dyDescent="0.2">
      <c r="B8" s="48" t="s">
        <v>10</v>
      </c>
      <c r="C8" s="49">
        <f>CPU!D11</f>
        <v>1</v>
      </c>
      <c r="D8" s="32" t="str">
        <f>CPU!C11</f>
        <v>PRÓPRIA</v>
      </c>
      <c r="E8" s="50" t="s">
        <v>11</v>
      </c>
      <c r="F8" s="51" t="s">
        <v>12</v>
      </c>
      <c r="G8" s="52">
        <f>MC!H30</f>
        <v>1</v>
      </c>
      <c r="H8" s="53">
        <v>59893.2</v>
      </c>
      <c r="I8" s="53">
        <f>TRUNC((H8*($H$3+1)),2)</f>
        <v>71925.740000000005</v>
      </c>
      <c r="J8" s="53">
        <f>TRUNC((G8*H8),2)</f>
        <v>59893.2</v>
      </c>
      <c r="K8" s="53">
        <v>71650.23</v>
      </c>
      <c r="L8" s="54">
        <f t="shared" si="0"/>
        <v>4.5447017298360516E-2</v>
      </c>
      <c r="M8" s="147">
        <f>K8/6</f>
        <v>11941.705</v>
      </c>
      <c r="N8" s="148">
        <f>M8/K8</f>
        <v>0.16666666666666669</v>
      </c>
    </row>
    <row r="9" spans="2:14" ht="24" customHeight="1" x14ac:dyDescent="0.2">
      <c r="B9" s="42" t="s">
        <v>13</v>
      </c>
      <c r="C9" s="31"/>
      <c r="D9" s="31"/>
      <c r="E9" s="43" t="s">
        <v>14</v>
      </c>
      <c r="F9" s="43"/>
      <c r="G9" s="44"/>
      <c r="H9" s="45"/>
      <c r="I9" s="45"/>
      <c r="J9" s="46">
        <f>SUM(J10:J12)</f>
        <v>273217.24</v>
      </c>
      <c r="K9" s="46">
        <f>SUM(K10:K12)</f>
        <v>328057.94</v>
      </c>
      <c r="L9" s="47">
        <f t="shared" si="0"/>
        <v>0.20808383830790939</v>
      </c>
    </row>
    <row r="10" spans="2:14" ht="26.1" customHeight="1" x14ac:dyDescent="0.2">
      <c r="B10" s="48" t="s">
        <v>15</v>
      </c>
      <c r="C10" s="49" t="s">
        <v>16</v>
      </c>
      <c r="D10" s="32" t="s">
        <v>7</v>
      </c>
      <c r="E10" s="50" t="s">
        <v>17</v>
      </c>
      <c r="F10" s="51" t="s">
        <v>9</v>
      </c>
      <c r="G10" s="52">
        <f>MC!H37</f>
        <v>2500</v>
      </c>
      <c r="H10" s="53">
        <v>0.14000000000000001</v>
      </c>
      <c r="I10" s="53">
        <f>TRUNC((H10*($H$3+1)),2)</f>
        <v>0.16</v>
      </c>
      <c r="J10" s="53">
        <f>TRUNC((G10*H10),2)</f>
        <v>350</v>
      </c>
      <c r="K10" s="53">
        <f>TRUNC((G10*I10),2)</f>
        <v>400</v>
      </c>
      <c r="L10" s="54">
        <f t="shared" si="0"/>
        <v>2.5371596042809925E-4</v>
      </c>
    </row>
    <row r="11" spans="2:14" ht="51.95" customHeight="1" x14ac:dyDescent="0.2">
      <c r="B11" s="48" t="s">
        <v>18</v>
      </c>
      <c r="C11" s="49" t="s">
        <v>19</v>
      </c>
      <c r="D11" s="32" t="s">
        <v>7</v>
      </c>
      <c r="E11" s="50" t="s">
        <v>20</v>
      </c>
      <c r="F11" s="51" t="s">
        <v>21</v>
      </c>
      <c r="G11" s="52">
        <f>MC!H44</f>
        <v>1006</v>
      </c>
      <c r="H11" s="53">
        <v>54.54</v>
      </c>
      <c r="I11" s="53">
        <f>TRUNC((H11*($H$3+1)),2)</f>
        <v>65.489999999999995</v>
      </c>
      <c r="J11" s="53">
        <f>TRUNC((G11*H11),2)</f>
        <v>54867.24</v>
      </c>
      <c r="K11" s="53">
        <f>TRUNC((G11*I11),2)</f>
        <v>65882.94</v>
      </c>
      <c r="L11" s="54">
        <f t="shared" si="0"/>
        <v>4.1788883494817089E-2</v>
      </c>
      <c r="M11" s="145">
        <f>G11+G16+G22+G27+G32+G37+G42+G47+G53+G58+G64+G69+G75+G80</f>
        <v>3946.0000000000005</v>
      </c>
      <c r="N11" s="145">
        <f>M11*0.3</f>
        <v>1183.8000000000002</v>
      </c>
    </row>
    <row r="12" spans="2:14" ht="39" customHeight="1" x14ac:dyDescent="0.2">
      <c r="B12" s="48" t="s">
        <v>22</v>
      </c>
      <c r="C12" s="49" t="s">
        <v>23</v>
      </c>
      <c r="D12" s="32" t="s">
        <v>7</v>
      </c>
      <c r="E12" s="50" t="s">
        <v>24</v>
      </c>
      <c r="F12" s="51" t="s">
        <v>9</v>
      </c>
      <c r="G12" s="52">
        <f>MC!H50</f>
        <v>2500</v>
      </c>
      <c r="H12" s="53">
        <v>87.2</v>
      </c>
      <c r="I12" s="53">
        <f>TRUNC((H12*($H$3+1)),2)</f>
        <v>104.71</v>
      </c>
      <c r="J12" s="53">
        <f>TRUNC((G12*H12),2)</f>
        <v>218000</v>
      </c>
      <c r="K12" s="53">
        <f>TRUNC((G12*I12),2)</f>
        <v>261775</v>
      </c>
      <c r="L12" s="54">
        <f t="shared" si="0"/>
        <v>0.1660412388526642</v>
      </c>
      <c r="M12" s="145">
        <f>G12+G17+G23+G28+G33+G38+G43+G48+G54+G59+G65+G70+G76+G81</f>
        <v>11823.067500000001</v>
      </c>
      <c r="N12" s="145">
        <f>M12*0.3</f>
        <v>3546.9202500000001</v>
      </c>
    </row>
    <row r="13" spans="2:14" ht="24" customHeight="1" x14ac:dyDescent="0.2">
      <c r="B13" s="42" t="s">
        <v>25</v>
      </c>
      <c r="C13" s="31"/>
      <c r="D13" s="31"/>
      <c r="E13" s="43" t="s">
        <v>26</v>
      </c>
      <c r="F13" s="43"/>
      <c r="G13" s="44"/>
      <c r="H13" s="45"/>
      <c r="I13" s="45"/>
      <c r="J13" s="46">
        <f>J14</f>
        <v>88820.66</v>
      </c>
      <c r="K13" s="46">
        <f>K14</f>
        <v>106648.78</v>
      </c>
      <c r="L13" s="47">
        <f t="shared" si="0"/>
        <v>6.7646244115462648E-2</v>
      </c>
    </row>
    <row r="14" spans="2:14" ht="24" customHeight="1" x14ac:dyDescent="0.2">
      <c r="B14" s="42" t="s">
        <v>27</v>
      </c>
      <c r="C14" s="31"/>
      <c r="D14" s="31"/>
      <c r="E14" s="43" t="s">
        <v>28</v>
      </c>
      <c r="F14" s="43"/>
      <c r="G14" s="44"/>
      <c r="H14" s="45"/>
      <c r="I14" s="45"/>
      <c r="J14" s="46">
        <f>SUM(J15:J18)</f>
        <v>88820.66</v>
      </c>
      <c r="K14" s="46">
        <f>SUM(K15:K18)</f>
        <v>106648.78</v>
      </c>
      <c r="L14" s="47">
        <f t="shared" si="0"/>
        <v>6.7646244115462648E-2</v>
      </c>
    </row>
    <row r="15" spans="2:14" ht="26.1" customHeight="1" x14ac:dyDescent="0.2">
      <c r="B15" s="48" t="s">
        <v>29</v>
      </c>
      <c r="C15" s="49" t="s">
        <v>16</v>
      </c>
      <c r="D15" s="32" t="s">
        <v>7</v>
      </c>
      <c r="E15" s="50" t="s">
        <v>17</v>
      </c>
      <c r="F15" s="51" t="s">
        <v>9</v>
      </c>
      <c r="G15" s="52">
        <f>MC!H58</f>
        <v>840</v>
      </c>
      <c r="H15" s="53">
        <v>0.14000000000000001</v>
      </c>
      <c r="I15" s="53">
        <f>TRUNC((H15*($H$3+1)),2)</f>
        <v>0.16</v>
      </c>
      <c r="J15" s="53">
        <f>TRUNC((G15*H15),2)</f>
        <v>117.6</v>
      </c>
      <c r="K15" s="53">
        <f>TRUNC((G15*I15),2)</f>
        <v>134.4</v>
      </c>
      <c r="L15" s="54">
        <f t="shared" si="0"/>
        <v>8.5248562703841348E-5</v>
      </c>
    </row>
    <row r="16" spans="2:14" ht="51.95" customHeight="1" x14ac:dyDescent="0.2">
      <c r="B16" s="48" t="s">
        <v>30</v>
      </c>
      <c r="C16" s="49" t="s">
        <v>19</v>
      </c>
      <c r="D16" s="32" t="s">
        <v>7</v>
      </c>
      <c r="E16" s="50" t="s">
        <v>20</v>
      </c>
      <c r="F16" s="51" t="s">
        <v>21</v>
      </c>
      <c r="G16" s="52">
        <f>MC!H64</f>
        <v>280</v>
      </c>
      <c r="H16" s="53">
        <v>54.54</v>
      </c>
      <c r="I16" s="53">
        <f>TRUNC((H16*($H$3+1)),2)</f>
        <v>65.489999999999995</v>
      </c>
      <c r="J16" s="53">
        <f>TRUNC((G16*H16),2)</f>
        <v>15271.2</v>
      </c>
      <c r="K16" s="53">
        <f>TRUNC((G16*I16),2)</f>
        <v>18337.2</v>
      </c>
      <c r="L16" s="54">
        <f t="shared" si="0"/>
        <v>1.1631100773905353E-2</v>
      </c>
    </row>
    <row r="17" spans="2:12" ht="39" customHeight="1" x14ac:dyDescent="0.2">
      <c r="B17" s="48" t="s">
        <v>31</v>
      </c>
      <c r="C17" s="49" t="s">
        <v>23</v>
      </c>
      <c r="D17" s="32" t="s">
        <v>7</v>
      </c>
      <c r="E17" s="50" t="s">
        <v>24</v>
      </c>
      <c r="F17" s="51" t="s">
        <v>9</v>
      </c>
      <c r="G17" s="52">
        <f>MC!H70</f>
        <v>840</v>
      </c>
      <c r="H17" s="53">
        <v>87.2</v>
      </c>
      <c r="I17" s="53">
        <f>TRUNC((H17*($H$3+1)),2)</f>
        <v>104.71</v>
      </c>
      <c r="J17" s="53">
        <f>TRUNC((G17*H17),2)</f>
        <v>73248</v>
      </c>
      <c r="K17" s="53">
        <f>TRUNC((G17*I17),2)</f>
        <v>87956.4</v>
      </c>
      <c r="L17" s="54">
        <f t="shared" si="0"/>
        <v>5.5789856254495167E-2</v>
      </c>
    </row>
    <row r="18" spans="2:12" ht="26.1" customHeight="1" x14ac:dyDescent="0.2">
      <c r="B18" s="48" t="s">
        <v>32</v>
      </c>
      <c r="C18" s="49">
        <v>2</v>
      </c>
      <c r="D18" s="32" t="s">
        <v>132</v>
      </c>
      <c r="E18" s="50" t="s">
        <v>33</v>
      </c>
      <c r="F18" s="51" t="s">
        <v>12</v>
      </c>
      <c r="G18" s="52">
        <f>MC!H76</f>
        <v>2</v>
      </c>
      <c r="H18" s="53">
        <v>91.93</v>
      </c>
      <c r="I18" s="53">
        <f>TRUNC((H18*($H$3+1)),2)</f>
        <v>110.39</v>
      </c>
      <c r="J18" s="53">
        <f>TRUNC((G18*H18),2)</f>
        <v>183.86</v>
      </c>
      <c r="K18" s="53">
        <f>TRUNC((G18*I18),2)</f>
        <v>220.78</v>
      </c>
      <c r="L18" s="54">
        <f t="shared" si="0"/>
        <v>1.4003852435828936E-4</v>
      </c>
    </row>
    <row r="19" spans="2:12" ht="24" customHeight="1" x14ac:dyDescent="0.2">
      <c r="B19" s="42" t="s">
        <v>34</v>
      </c>
      <c r="C19" s="31"/>
      <c r="D19" s="31"/>
      <c r="E19" s="43" t="s">
        <v>35</v>
      </c>
      <c r="F19" s="43"/>
      <c r="G19" s="44"/>
      <c r="H19" s="45"/>
      <c r="I19" s="45"/>
      <c r="J19" s="46">
        <f>J20+J25+J30+J35+J40+J45</f>
        <v>688919.20000000019</v>
      </c>
      <c r="K19" s="46">
        <f>K20+K25+K30+K35+K40+K45</f>
        <v>827199.1</v>
      </c>
      <c r="L19" s="47">
        <f t="shared" si="0"/>
        <v>0.52468403530439822</v>
      </c>
    </row>
    <row r="20" spans="2:12" ht="24" customHeight="1" x14ac:dyDescent="0.2">
      <c r="B20" s="42" t="s">
        <v>36</v>
      </c>
      <c r="C20" s="31"/>
      <c r="D20" s="31"/>
      <c r="E20" s="43" t="s">
        <v>37</v>
      </c>
      <c r="F20" s="43"/>
      <c r="G20" s="44"/>
      <c r="H20" s="45"/>
      <c r="I20" s="45"/>
      <c r="J20" s="46">
        <f>SUM(J21:J24)</f>
        <v>264785.3</v>
      </c>
      <c r="K20" s="46">
        <f>SUM(K21:K24)</f>
        <v>317933.02</v>
      </c>
      <c r="L20" s="47">
        <f t="shared" si="0"/>
        <v>0.20166170380276521</v>
      </c>
    </row>
    <row r="21" spans="2:12" ht="26.1" customHeight="1" x14ac:dyDescent="0.2">
      <c r="B21" s="48" t="s">
        <v>38</v>
      </c>
      <c r="C21" s="49" t="s">
        <v>16</v>
      </c>
      <c r="D21" s="32" t="s">
        <v>7</v>
      </c>
      <c r="E21" s="50" t="s">
        <v>17</v>
      </c>
      <c r="F21" s="51" t="s">
        <v>9</v>
      </c>
      <c r="G21" s="52">
        <f>MC!H84</f>
        <v>2520</v>
      </c>
      <c r="H21" s="53">
        <v>0.14000000000000001</v>
      </c>
      <c r="I21" s="53">
        <f>TRUNC((H21*($H$3+1)),2)</f>
        <v>0.16</v>
      </c>
      <c r="J21" s="53">
        <f>TRUNC((G21*H21),2)</f>
        <v>352.8</v>
      </c>
      <c r="K21" s="53">
        <f>TRUNC((G21*I21),2)</f>
        <v>403.2</v>
      </c>
      <c r="L21" s="54">
        <f t="shared" si="0"/>
        <v>2.5574568811152402E-4</v>
      </c>
    </row>
    <row r="22" spans="2:12" ht="51.95" customHeight="1" x14ac:dyDescent="0.2">
      <c r="B22" s="48" t="s">
        <v>39</v>
      </c>
      <c r="C22" s="49" t="s">
        <v>19</v>
      </c>
      <c r="D22" s="32" t="s">
        <v>7</v>
      </c>
      <c r="E22" s="50" t="s">
        <v>20</v>
      </c>
      <c r="F22" s="51" t="s">
        <v>21</v>
      </c>
      <c r="G22" s="52">
        <f>MC!H92</f>
        <v>816</v>
      </c>
      <c r="H22" s="53">
        <v>54.54</v>
      </c>
      <c r="I22" s="53">
        <f t="shared" ref="I22:I49" si="1">TRUNC((H22*($H$3+1)),2)</f>
        <v>65.489999999999995</v>
      </c>
      <c r="J22" s="53">
        <f t="shared" ref="J22:J24" si="2">TRUNC((G22*H22),2)</f>
        <v>44504.639999999999</v>
      </c>
      <c r="K22" s="53">
        <f t="shared" ref="K22:K24" si="3">TRUNC((G22*I22),2)</f>
        <v>53439.839999999997</v>
      </c>
      <c r="L22" s="54">
        <f t="shared" si="0"/>
        <v>3.3896350826809883E-2</v>
      </c>
    </row>
    <row r="23" spans="2:12" ht="39" customHeight="1" x14ac:dyDescent="0.2">
      <c r="B23" s="48" t="s">
        <v>40</v>
      </c>
      <c r="C23" s="49" t="s">
        <v>23</v>
      </c>
      <c r="D23" s="32" t="s">
        <v>7</v>
      </c>
      <c r="E23" s="50" t="s">
        <v>24</v>
      </c>
      <c r="F23" s="51" t="s">
        <v>9</v>
      </c>
      <c r="G23" s="52">
        <f>MC!H98</f>
        <v>2520</v>
      </c>
      <c r="H23" s="53">
        <v>87.2</v>
      </c>
      <c r="I23" s="53">
        <f t="shared" si="1"/>
        <v>104.71</v>
      </c>
      <c r="J23" s="53">
        <f t="shared" si="2"/>
        <v>219744</v>
      </c>
      <c r="K23" s="53">
        <f t="shared" si="3"/>
        <v>263869.2</v>
      </c>
      <c r="L23" s="54">
        <f t="shared" si="0"/>
        <v>0.16736956876348552</v>
      </c>
    </row>
    <row r="24" spans="2:12" ht="26.1" customHeight="1" x14ac:dyDescent="0.2">
      <c r="B24" s="48" t="s">
        <v>41</v>
      </c>
      <c r="C24" s="49">
        <v>2</v>
      </c>
      <c r="D24" s="32" t="s">
        <v>132</v>
      </c>
      <c r="E24" s="50" t="s">
        <v>33</v>
      </c>
      <c r="F24" s="51" t="s">
        <v>12</v>
      </c>
      <c r="G24" s="52">
        <f>MC!H104</f>
        <v>2</v>
      </c>
      <c r="H24" s="53">
        <v>91.93</v>
      </c>
      <c r="I24" s="53">
        <f t="shared" si="1"/>
        <v>110.39</v>
      </c>
      <c r="J24" s="53">
        <f t="shared" si="2"/>
        <v>183.86</v>
      </c>
      <c r="K24" s="53">
        <f t="shared" si="3"/>
        <v>220.78</v>
      </c>
      <c r="L24" s="54">
        <f t="shared" si="0"/>
        <v>1.4003852435828936E-4</v>
      </c>
    </row>
    <row r="25" spans="2:12" ht="24" customHeight="1" x14ac:dyDescent="0.2">
      <c r="B25" s="42" t="s">
        <v>42</v>
      </c>
      <c r="C25" s="31"/>
      <c r="D25" s="31"/>
      <c r="E25" s="43" t="s">
        <v>43</v>
      </c>
      <c r="F25" s="43"/>
      <c r="G25" s="44"/>
      <c r="H25" s="45"/>
      <c r="I25" s="45"/>
      <c r="J25" s="46">
        <f>SUM(J26:J29)</f>
        <v>265767.02</v>
      </c>
      <c r="K25" s="46">
        <f>SUM(K26:K29)</f>
        <v>319111.84000000003</v>
      </c>
      <c r="L25" s="47">
        <f t="shared" si="0"/>
        <v>0.20240941742394486</v>
      </c>
    </row>
    <row r="26" spans="2:12" ht="26.1" customHeight="1" x14ac:dyDescent="0.2">
      <c r="B26" s="48" t="s">
        <v>44</v>
      </c>
      <c r="C26" s="49" t="s">
        <v>16</v>
      </c>
      <c r="D26" s="32" t="s">
        <v>7</v>
      </c>
      <c r="E26" s="50" t="s">
        <v>17</v>
      </c>
      <c r="F26" s="51" t="s">
        <v>9</v>
      </c>
      <c r="G26" s="52">
        <f>MC!H111</f>
        <v>2520</v>
      </c>
      <c r="H26" s="53">
        <v>0.14000000000000001</v>
      </c>
      <c r="I26" s="53">
        <f t="shared" si="1"/>
        <v>0.16</v>
      </c>
      <c r="J26" s="53">
        <f t="shared" ref="J26" si="4">TRUNC((G26*H26),2)</f>
        <v>352.8</v>
      </c>
      <c r="K26" s="53">
        <f t="shared" ref="K26" si="5">TRUNC((G26*I26),2)</f>
        <v>403.2</v>
      </c>
      <c r="L26" s="54">
        <f t="shared" si="0"/>
        <v>2.5574568811152402E-4</v>
      </c>
    </row>
    <row r="27" spans="2:12" ht="51.95" customHeight="1" x14ac:dyDescent="0.2">
      <c r="B27" s="48" t="s">
        <v>45</v>
      </c>
      <c r="C27" s="49" t="s">
        <v>19</v>
      </c>
      <c r="D27" s="32" t="s">
        <v>7</v>
      </c>
      <c r="E27" s="50" t="s">
        <v>20</v>
      </c>
      <c r="F27" s="51" t="s">
        <v>21</v>
      </c>
      <c r="G27" s="52">
        <f>MC!H119</f>
        <v>834</v>
      </c>
      <c r="H27" s="53">
        <v>54.54</v>
      </c>
      <c r="I27" s="53">
        <f t="shared" si="1"/>
        <v>65.489999999999995</v>
      </c>
      <c r="J27" s="53">
        <f t="shared" ref="J27:J29" si="6">TRUNC((G27*H27),2)</f>
        <v>45486.36</v>
      </c>
      <c r="K27" s="53">
        <f t="shared" ref="K27:K29" si="7">TRUNC((G27*I27),2)</f>
        <v>54618.66</v>
      </c>
      <c r="L27" s="54">
        <f t="shared" si="0"/>
        <v>3.4644064447989516E-2</v>
      </c>
    </row>
    <row r="28" spans="2:12" ht="39" customHeight="1" x14ac:dyDescent="0.2">
      <c r="B28" s="48" t="s">
        <v>46</v>
      </c>
      <c r="C28" s="49" t="s">
        <v>23</v>
      </c>
      <c r="D28" s="32" t="s">
        <v>7</v>
      </c>
      <c r="E28" s="50" t="s">
        <v>24</v>
      </c>
      <c r="F28" s="51" t="s">
        <v>9</v>
      </c>
      <c r="G28" s="52">
        <f>MC!H125</f>
        <v>2520</v>
      </c>
      <c r="H28" s="53">
        <v>87.2</v>
      </c>
      <c r="I28" s="53">
        <f t="shared" si="1"/>
        <v>104.71</v>
      </c>
      <c r="J28" s="53">
        <f t="shared" si="6"/>
        <v>219744</v>
      </c>
      <c r="K28" s="53">
        <f t="shared" si="7"/>
        <v>263869.2</v>
      </c>
      <c r="L28" s="54">
        <f t="shared" si="0"/>
        <v>0.16736956876348552</v>
      </c>
    </row>
    <row r="29" spans="2:12" ht="26.1" customHeight="1" x14ac:dyDescent="0.2">
      <c r="B29" s="48" t="s">
        <v>47</v>
      </c>
      <c r="C29" s="49">
        <v>2</v>
      </c>
      <c r="D29" s="32" t="s">
        <v>132</v>
      </c>
      <c r="E29" s="50" t="s">
        <v>33</v>
      </c>
      <c r="F29" s="51" t="s">
        <v>12</v>
      </c>
      <c r="G29" s="52">
        <f>MC!H131</f>
        <v>2</v>
      </c>
      <c r="H29" s="53">
        <v>91.93</v>
      </c>
      <c r="I29" s="53">
        <f t="shared" si="1"/>
        <v>110.39</v>
      </c>
      <c r="J29" s="53">
        <f t="shared" si="6"/>
        <v>183.86</v>
      </c>
      <c r="K29" s="53">
        <f t="shared" si="7"/>
        <v>220.78</v>
      </c>
      <c r="L29" s="54">
        <f t="shared" si="0"/>
        <v>1.4003852435828936E-4</v>
      </c>
    </row>
    <row r="30" spans="2:12" ht="24" customHeight="1" x14ac:dyDescent="0.2">
      <c r="B30" s="42" t="s">
        <v>48</v>
      </c>
      <c r="C30" s="31"/>
      <c r="D30" s="31"/>
      <c r="E30" s="43" t="s">
        <v>49</v>
      </c>
      <c r="F30" s="43"/>
      <c r="G30" s="44"/>
      <c r="H30" s="45"/>
      <c r="I30" s="45"/>
      <c r="J30" s="46">
        <f>SUM(J31:J34)</f>
        <v>58103.66</v>
      </c>
      <c r="K30" s="46">
        <f>SUM(K31:K34)</f>
        <v>69766.239999999991</v>
      </c>
      <c r="L30" s="47">
        <f t="shared" si="0"/>
        <v>4.4252021467643177E-2</v>
      </c>
    </row>
    <row r="31" spans="2:12" ht="26.1" customHeight="1" x14ac:dyDescent="0.2">
      <c r="B31" s="48" t="s">
        <v>50</v>
      </c>
      <c r="C31" s="49" t="s">
        <v>16</v>
      </c>
      <c r="D31" s="32" t="s">
        <v>7</v>
      </c>
      <c r="E31" s="50" t="s">
        <v>17</v>
      </c>
      <c r="F31" s="51" t="s">
        <v>9</v>
      </c>
      <c r="G31" s="52">
        <f>MC!H138</f>
        <v>552</v>
      </c>
      <c r="H31" s="53">
        <v>0.14000000000000001</v>
      </c>
      <c r="I31" s="53">
        <f t="shared" si="1"/>
        <v>0.16</v>
      </c>
      <c r="J31" s="53">
        <f t="shared" ref="J31" si="8">TRUNC((G31*H31),2)</f>
        <v>77.28</v>
      </c>
      <c r="K31" s="53">
        <f t="shared" ref="K31" si="9">TRUNC((G31*I31),2)</f>
        <v>88.32</v>
      </c>
      <c r="L31" s="54">
        <f t="shared" si="0"/>
        <v>5.6020484062524306E-5</v>
      </c>
    </row>
    <row r="32" spans="2:12" ht="51.95" customHeight="1" x14ac:dyDescent="0.2">
      <c r="B32" s="48" t="s">
        <v>51</v>
      </c>
      <c r="C32" s="49" t="s">
        <v>19</v>
      </c>
      <c r="D32" s="32" t="s">
        <v>7</v>
      </c>
      <c r="E32" s="50" t="s">
        <v>20</v>
      </c>
      <c r="F32" s="51" t="s">
        <v>21</v>
      </c>
      <c r="G32" s="52">
        <f>MC!H145</f>
        <v>178</v>
      </c>
      <c r="H32" s="53">
        <v>54.54</v>
      </c>
      <c r="I32" s="53">
        <f t="shared" si="1"/>
        <v>65.489999999999995</v>
      </c>
      <c r="J32" s="53">
        <f t="shared" ref="J32:J34" si="10">TRUNC((G32*H32),2)</f>
        <v>9708.1200000000008</v>
      </c>
      <c r="K32" s="53">
        <f t="shared" ref="K32:K34" si="11">TRUNC((G32*I32),2)</f>
        <v>11657.22</v>
      </c>
      <c r="L32" s="54">
        <f t="shared" si="0"/>
        <v>7.3940569205541169E-3</v>
      </c>
    </row>
    <row r="33" spans="2:12" ht="39" customHeight="1" x14ac:dyDescent="0.2">
      <c r="B33" s="48" t="s">
        <v>52</v>
      </c>
      <c r="C33" s="49" t="s">
        <v>23</v>
      </c>
      <c r="D33" s="32" t="s">
        <v>7</v>
      </c>
      <c r="E33" s="50" t="s">
        <v>24</v>
      </c>
      <c r="F33" s="51" t="s">
        <v>9</v>
      </c>
      <c r="G33" s="52">
        <f>MC!H151</f>
        <v>552</v>
      </c>
      <c r="H33" s="53">
        <v>87.2</v>
      </c>
      <c r="I33" s="53">
        <f t="shared" si="1"/>
        <v>104.71</v>
      </c>
      <c r="J33" s="53">
        <f t="shared" si="10"/>
        <v>48134.400000000001</v>
      </c>
      <c r="K33" s="53">
        <f t="shared" si="11"/>
        <v>57799.92</v>
      </c>
      <c r="L33" s="54">
        <f t="shared" si="0"/>
        <v>3.666190553866825E-2</v>
      </c>
    </row>
    <row r="34" spans="2:12" ht="26.1" customHeight="1" x14ac:dyDescent="0.2">
      <c r="B34" s="48" t="s">
        <v>53</v>
      </c>
      <c r="C34" s="49">
        <v>2</v>
      </c>
      <c r="D34" s="32" t="s">
        <v>132</v>
      </c>
      <c r="E34" s="50" t="s">
        <v>33</v>
      </c>
      <c r="F34" s="51" t="s">
        <v>12</v>
      </c>
      <c r="G34" s="52">
        <f>MC!H157</f>
        <v>2</v>
      </c>
      <c r="H34" s="53">
        <v>91.93</v>
      </c>
      <c r="I34" s="53">
        <f t="shared" si="1"/>
        <v>110.39</v>
      </c>
      <c r="J34" s="53">
        <f t="shared" si="10"/>
        <v>183.86</v>
      </c>
      <c r="K34" s="53">
        <f t="shared" si="11"/>
        <v>220.78</v>
      </c>
      <c r="L34" s="54">
        <f t="shared" si="0"/>
        <v>1.4003852435828936E-4</v>
      </c>
    </row>
    <row r="35" spans="2:12" ht="24" customHeight="1" x14ac:dyDescent="0.2">
      <c r="B35" s="42" t="s">
        <v>54</v>
      </c>
      <c r="C35" s="31"/>
      <c r="D35" s="31"/>
      <c r="E35" s="43" t="s">
        <v>55</v>
      </c>
      <c r="F35" s="43"/>
      <c r="G35" s="44"/>
      <c r="H35" s="45"/>
      <c r="I35" s="45"/>
      <c r="J35" s="46">
        <f>SUM(J36:J39)</f>
        <v>32748.640000000003</v>
      </c>
      <c r="K35" s="46">
        <f>SUM(K36:K39)</f>
        <v>39321.929999999993</v>
      </c>
      <c r="L35" s="47">
        <f t="shared" si="0"/>
        <v>2.4941503089591217E-2</v>
      </c>
    </row>
    <row r="36" spans="2:12" ht="26.1" customHeight="1" x14ac:dyDescent="0.2">
      <c r="B36" s="48" t="s">
        <v>56</v>
      </c>
      <c r="C36" s="49" t="s">
        <v>16</v>
      </c>
      <c r="D36" s="32" t="s">
        <v>7</v>
      </c>
      <c r="E36" s="50" t="s">
        <v>17</v>
      </c>
      <c r="F36" s="51" t="s">
        <v>9</v>
      </c>
      <c r="G36" s="52">
        <f>MC!H164</f>
        <v>316.40000000000003</v>
      </c>
      <c r="H36" s="53">
        <v>0.14000000000000001</v>
      </c>
      <c r="I36" s="53">
        <f t="shared" si="1"/>
        <v>0.16</v>
      </c>
      <c r="J36" s="53">
        <f t="shared" ref="J36" si="12">TRUNC((G36*H36),2)</f>
        <v>44.29</v>
      </c>
      <c r="K36" s="53">
        <f t="shared" ref="K36" si="13">TRUNC((G36*I36),2)</f>
        <v>50.62</v>
      </c>
      <c r="L36" s="54">
        <f t="shared" si="0"/>
        <v>3.2107754792175955E-5</v>
      </c>
    </row>
    <row r="37" spans="2:12" ht="51.95" customHeight="1" x14ac:dyDescent="0.2">
      <c r="B37" s="48" t="s">
        <v>57</v>
      </c>
      <c r="C37" s="49" t="s">
        <v>19</v>
      </c>
      <c r="D37" s="32" t="s">
        <v>7</v>
      </c>
      <c r="E37" s="50" t="s">
        <v>20</v>
      </c>
      <c r="F37" s="51" t="s">
        <v>21</v>
      </c>
      <c r="G37" s="52">
        <f>MC!H170</f>
        <v>90.4</v>
      </c>
      <c r="H37" s="53">
        <v>54.54</v>
      </c>
      <c r="I37" s="53">
        <f t="shared" si="1"/>
        <v>65.489999999999995</v>
      </c>
      <c r="J37" s="53">
        <f t="shared" ref="J37:J39" si="14">TRUNC((G37*H37),2)</f>
        <v>4930.41</v>
      </c>
      <c r="K37" s="53">
        <f t="shared" ref="K37:K39" si="15">TRUNC((G37*I37),2)</f>
        <v>5920.29</v>
      </c>
      <c r="L37" s="54">
        <f t="shared" si="0"/>
        <v>3.7551801584071788E-3</v>
      </c>
    </row>
    <row r="38" spans="2:12" ht="39" customHeight="1" x14ac:dyDescent="0.2">
      <c r="B38" s="48" t="s">
        <v>58</v>
      </c>
      <c r="C38" s="49" t="s">
        <v>23</v>
      </c>
      <c r="D38" s="32" t="s">
        <v>7</v>
      </c>
      <c r="E38" s="50" t="s">
        <v>24</v>
      </c>
      <c r="F38" s="51" t="s">
        <v>9</v>
      </c>
      <c r="G38" s="52">
        <f>MC!H176</f>
        <v>316.40000000000003</v>
      </c>
      <c r="H38" s="53">
        <v>87.2</v>
      </c>
      <c r="I38" s="53">
        <f t="shared" si="1"/>
        <v>104.71</v>
      </c>
      <c r="J38" s="53">
        <f t="shared" si="14"/>
        <v>27590.080000000002</v>
      </c>
      <c r="K38" s="53">
        <f t="shared" si="15"/>
        <v>33130.239999999998</v>
      </c>
      <c r="L38" s="54">
        <f t="shared" si="0"/>
        <v>2.1014176652033575E-2</v>
      </c>
    </row>
    <row r="39" spans="2:12" ht="26.1" customHeight="1" x14ac:dyDescent="0.2">
      <c r="B39" s="48" t="s">
        <v>59</v>
      </c>
      <c r="C39" s="49">
        <v>2</v>
      </c>
      <c r="D39" s="32" t="s">
        <v>132</v>
      </c>
      <c r="E39" s="50" t="s">
        <v>33</v>
      </c>
      <c r="F39" s="51" t="s">
        <v>12</v>
      </c>
      <c r="G39" s="52">
        <f>MC!H182</f>
        <v>2</v>
      </c>
      <c r="H39" s="53">
        <v>91.93</v>
      </c>
      <c r="I39" s="53">
        <f t="shared" si="1"/>
        <v>110.39</v>
      </c>
      <c r="J39" s="53">
        <f t="shared" si="14"/>
        <v>183.86</v>
      </c>
      <c r="K39" s="53">
        <f t="shared" si="15"/>
        <v>220.78</v>
      </c>
      <c r="L39" s="54">
        <f t="shared" si="0"/>
        <v>1.4003852435828936E-4</v>
      </c>
    </row>
    <row r="40" spans="2:12" ht="24" customHeight="1" x14ac:dyDescent="0.2">
      <c r="B40" s="42" t="s">
        <v>60</v>
      </c>
      <c r="C40" s="31"/>
      <c r="D40" s="31"/>
      <c r="E40" s="43" t="s">
        <v>61</v>
      </c>
      <c r="F40" s="43"/>
      <c r="G40" s="44"/>
      <c r="H40" s="45"/>
      <c r="I40" s="45"/>
      <c r="J40" s="46">
        <f>SUM(J41:J44)</f>
        <v>33325.020000000004</v>
      </c>
      <c r="K40" s="46">
        <f>SUM(K41:K44)</f>
        <v>40014</v>
      </c>
      <c r="L40" s="47">
        <f t="shared" si="0"/>
        <v>2.5380476101424906E-2</v>
      </c>
    </row>
    <row r="41" spans="2:12" ht="26.1" customHeight="1" x14ac:dyDescent="0.2">
      <c r="B41" s="48" t="s">
        <v>62</v>
      </c>
      <c r="C41" s="49" t="s">
        <v>16</v>
      </c>
      <c r="D41" s="32" t="s">
        <v>7</v>
      </c>
      <c r="E41" s="50" t="s">
        <v>17</v>
      </c>
      <c r="F41" s="51" t="s">
        <v>9</v>
      </c>
      <c r="G41" s="52">
        <f>MC!H189</f>
        <v>322</v>
      </c>
      <c r="H41" s="53">
        <v>0.14000000000000001</v>
      </c>
      <c r="I41" s="53">
        <f t="shared" si="1"/>
        <v>0.16</v>
      </c>
      <c r="J41" s="53">
        <f t="shared" ref="J41" si="16">TRUNC((G41*H41),2)</f>
        <v>45.08</v>
      </c>
      <c r="K41" s="53">
        <f t="shared" ref="K41" si="17">TRUNC((G41*I41),2)</f>
        <v>51.52</v>
      </c>
      <c r="L41" s="54">
        <f t="shared" si="0"/>
        <v>3.2678615703139183E-5</v>
      </c>
    </row>
    <row r="42" spans="2:12" ht="51.95" customHeight="1" x14ac:dyDescent="0.2">
      <c r="B42" s="48" t="s">
        <v>63</v>
      </c>
      <c r="C42" s="49" t="s">
        <v>19</v>
      </c>
      <c r="D42" s="32" t="s">
        <v>7</v>
      </c>
      <c r="E42" s="50" t="s">
        <v>20</v>
      </c>
      <c r="F42" s="51" t="s">
        <v>21</v>
      </c>
      <c r="G42" s="52">
        <f>MC!H195</f>
        <v>92</v>
      </c>
      <c r="H42" s="53">
        <v>54.54</v>
      </c>
      <c r="I42" s="53">
        <f t="shared" si="1"/>
        <v>65.489999999999995</v>
      </c>
      <c r="J42" s="53">
        <f t="shared" ref="J42:J44" si="18">TRUNC((G42*H42),2)</f>
        <v>5017.68</v>
      </c>
      <c r="K42" s="53">
        <f t="shared" ref="K42:K44" si="19">TRUNC((G42*I42),2)</f>
        <v>6025.08</v>
      </c>
      <c r="L42" s="54">
        <f t="shared" si="0"/>
        <v>3.8216473971403302E-3</v>
      </c>
    </row>
    <row r="43" spans="2:12" ht="39" customHeight="1" x14ac:dyDescent="0.2">
      <c r="B43" s="48" t="s">
        <v>64</v>
      </c>
      <c r="C43" s="49" t="s">
        <v>23</v>
      </c>
      <c r="D43" s="32" t="s">
        <v>7</v>
      </c>
      <c r="E43" s="50" t="s">
        <v>24</v>
      </c>
      <c r="F43" s="51" t="s">
        <v>9</v>
      </c>
      <c r="G43" s="52">
        <f>MC!H201</f>
        <v>322</v>
      </c>
      <c r="H43" s="53">
        <v>87.2</v>
      </c>
      <c r="I43" s="53">
        <f t="shared" si="1"/>
        <v>104.71</v>
      </c>
      <c r="J43" s="53">
        <f t="shared" si="18"/>
        <v>28078.400000000001</v>
      </c>
      <c r="K43" s="53">
        <f t="shared" si="19"/>
        <v>33716.620000000003</v>
      </c>
      <c r="L43" s="54">
        <f t="shared" si="0"/>
        <v>2.138611156422315E-2</v>
      </c>
    </row>
    <row r="44" spans="2:12" ht="26.1" customHeight="1" x14ac:dyDescent="0.2">
      <c r="B44" s="48" t="s">
        <v>65</v>
      </c>
      <c r="C44" s="49">
        <v>2</v>
      </c>
      <c r="D44" s="32" t="s">
        <v>132</v>
      </c>
      <c r="E44" s="50" t="s">
        <v>33</v>
      </c>
      <c r="F44" s="51" t="s">
        <v>12</v>
      </c>
      <c r="G44" s="52">
        <f>MC!H207</f>
        <v>2</v>
      </c>
      <c r="H44" s="53">
        <v>91.93</v>
      </c>
      <c r="I44" s="53">
        <f t="shared" si="1"/>
        <v>110.39</v>
      </c>
      <c r="J44" s="53">
        <f t="shared" si="18"/>
        <v>183.86</v>
      </c>
      <c r="K44" s="53">
        <f t="shared" si="19"/>
        <v>220.78</v>
      </c>
      <c r="L44" s="54">
        <f t="shared" si="0"/>
        <v>1.4003852435828936E-4</v>
      </c>
    </row>
    <row r="45" spans="2:12" ht="24" customHeight="1" x14ac:dyDescent="0.2">
      <c r="B45" s="42" t="s">
        <v>66</v>
      </c>
      <c r="C45" s="31"/>
      <c r="D45" s="31"/>
      <c r="E45" s="43" t="s">
        <v>67</v>
      </c>
      <c r="F45" s="43"/>
      <c r="G45" s="44"/>
      <c r="H45" s="45"/>
      <c r="I45" s="45"/>
      <c r="J45" s="46">
        <f>SUM(J46:J49)</f>
        <v>34189.56</v>
      </c>
      <c r="K45" s="46">
        <f>SUM(K46:K49)</f>
        <v>41052.07</v>
      </c>
      <c r="L45" s="47">
        <f t="shared" si="0"/>
        <v>2.6038913419028899E-2</v>
      </c>
    </row>
    <row r="46" spans="2:12" ht="26.1" customHeight="1" x14ac:dyDescent="0.2">
      <c r="B46" s="48" t="s">
        <v>68</v>
      </c>
      <c r="C46" s="49" t="s">
        <v>16</v>
      </c>
      <c r="D46" s="32" t="s">
        <v>7</v>
      </c>
      <c r="E46" s="50" t="s">
        <v>17</v>
      </c>
      <c r="F46" s="51" t="s">
        <v>9</v>
      </c>
      <c r="G46" s="52">
        <f>MC!H214</f>
        <v>330.40000000000003</v>
      </c>
      <c r="H46" s="53">
        <v>0.14000000000000001</v>
      </c>
      <c r="I46" s="53">
        <f t="shared" si="1"/>
        <v>0.16</v>
      </c>
      <c r="J46" s="53">
        <f t="shared" ref="J46" si="20">TRUNC((G46*H46),2)</f>
        <v>46.25</v>
      </c>
      <c r="K46" s="53">
        <f t="shared" ref="K46" si="21">TRUNC((G46*I46),2)</f>
        <v>52.86</v>
      </c>
      <c r="L46" s="54">
        <f t="shared" si="0"/>
        <v>3.3528564170573311E-5</v>
      </c>
    </row>
    <row r="47" spans="2:12" ht="51.95" customHeight="1" x14ac:dyDescent="0.2">
      <c r="B47" s="48" t="s">
        <v>69</v>
      </c>
      <c r="C47" s="49" t="s">
        <v>19</v>
      </c>
      <c r="D47" s="32" t="s">
        <v>7</v>
      </c>
      <c r="E47" s="50" t="s">
        <v>20</v>
      </c>
      <c r="F47" s="51" t="s">
        <v>21</v>
      </c>
      <c r="G47" s="52">
        <f>MC!H220</f>
        <v>94.4</v>
      </c>
      <c r="H47" s="53">
        <v>54.54</v>
      </c>
      <c r="I47" s="53">
        <f t="shared" si="1"/>
        <v>65.489999999999995</v>
      </c>
      <c r="J47" s="53">
        <f t="shared" ref="J47:J49" si="22">TRUNC((G47*H47),2)</f>
        <v>5148.57</v>
      </c>
      <c r="K47" s="53">
        <f t="shared" ref="K47:K49" si="23">TRUNC((G47*I47),2)</f>
        <v>6182.25</v>
      </c>
      <c r="L47" s="54">
        <f t="shared" si="0"/>
        <v>3.9213387408915407E-3</v>
      </c>
    </row>
    <row r="48" spans="2:12" ht="39" customHeight="1" x14ac:dyDescent="0.2">
      <c r="B48" s="48" t="s">
        <v>70</v>
      </c>
      <c r="C48" s="49" t="s">
        <v>23</v>
      </c>
      <c r="D48" s="32" t="s">
        <v>7</v>
      </c>
      <c r="E48" s="50" t="s">
        <v>24</v>
      </c>
      <c r="F48" s="51" t="s">
        <v>9</v>
      </c>
      <c r="G48" s="52">
        <f>MC!H226</f>
        <v>330.40000000000003</v>
      </c>
      <c r="H48" s="53">
        <v>87.2</v>
      </c>
      <c r="I48" s="53">
        <f t="shared" si="1"/>
        <v>104.71</v>
      </c>
      <c r="J48" s="53">
        <f t="shared" si="22"/>
        <v>28810.880000000001</v>
      </c>
      <c r="K48" s="53">
        <f t="shared" si="23"/>
        <v>34596.18</v>
      </c>
      <c r="L48" s="54">
        <f t="shared" si="0"/>
        <v>2.1944007589608495E-2</v>
      </c>
    </row>
    <row r="49" spans="2:12" ht="26.1" customHeight="1" x14ac:dyDescent="0.2">
      <c r="B49" s="48" t="s">
        <v>71</v>
      </c>
      <c r="C49" s="49">
        <v>2</v>
      </c>
      <c r="D49" s="32" t="s">
        <v>132</v>
      </c>
      <c r="E49" s="50" t="s">
        <v>33</v>
      </c>
      <c r="F49" s="51" t="s">
        <v>12</v>
      </c>
      <c r="G49" s="52">
        <f>MC!H232</f>
        <v>2</v>
      </c>
      <c r="H49" s="53">
        <v>91.93</v>
      </c>
      <c r="I49" s="53">
        <f t="shared" si="1"/>
        <v>110.39</v>
      </c>
      <c r="J49" s="53">
        <f t="shared" si="22"/>
        <v>183.86</v>
      </c>
      <c r="K49" s="53">
        <f t="shared" si="23"/>
        <v>220.78</v>
      </c>
      <c r="L49" s="54">
        <f t="shared" si="0"/>
        <v>1.4003852435828936E-4</v>
      </c>
    </row>
    <row r="50" spans="2:12" ht="24" customHeight="1" x14ac:dyDescent="0.2">
      <c r="B50" s="42">
        <v>5</v>
      </c>
      <c r="C50" s="31"/>
      <c r="D50" s="31"/>
      <c r="E50" s="43" t="s">
        <v>148</v>
      </c>
      <c r="F50" s="43"/>
      <c r="G50" s="44"/>
      <c r="H50" s="45"/>
      <c r="I50" s="45"/>
      <c r="J50" s="46">
        <f>J51+J56</f>
        <v>50573.37</v>
      </c>
      <c r="K50" s="46">
        <f>K51+K56</f>
        <v>60724.5</v>
      </c>
      <c r="L50" s="47">
        <f t="shared" ref="L50:L56" si="24">K50/$I$86</f>
        <v>3.8516937097540276E-2</v>
      </c>
    </row>
    <row r="51" spans="2:12" ht="24" customHeight="1" x14ac:dyDescent="0.2">
      <c r="B51" s="42" t="s">
        <v>179</v>
      </c>
      <c r="C51" s="31"/>
      <c r="D51" s="31"/>
      <c r="E51" s="43" t="s">
        <v>151</v>
      </c>
      <c r="F51" s="43"/>
      <c r="G51" s="44"/>
      <c r="H51" s="45"/>
      <c r="I51" s="45"/>
      <c r="J51" s="46">
        <f>SUM(J52:J55)</f>
        <v>19842.010000000002</v>
      </c>
      <c r="K51" s="46">
        <f>SUM(K52:K55)</f>
        <v>23824.77</v>
      </c>
      <c r="L51" s="47">
        <f t="shared" si="24"/>
        <v>1.5111811006321415E-2</v>
      </c>
    </row>
    <row r="52" spans="2:12" ht="26.1" customHeight="1" x14ac:dyDescent="0.2">
      <c r="B52" s="48" t="s">
        <v>180</v>
      </c>
      <c r="C52" s="49" t="s">
        <v>16</v>
      </c>
      <c r="D52" s="32" t="s">
        <v>7</v>
      </c>
      <c r="E52" s="50" t="s">
        <v>17</v>
      </c>
      <c r="F52" s="51" t="s">
        <v>9</v>
      </c>
      <c r="G52" s="52">
        <f>MC!H240</f>
        <v>174.87</v>
      </c>
      <c r="H52" s="53">
        <v>0.14000000000000001</v>
      </c>
      <c r="I52" s="53">
        <f t="shared" ref="I52:I55" si="25">TRUNC((H52*($H$3+1)),2)</f>
        <v>0.16</v>
      </c>
      <c r="J52" s="53">
        <f t="shared" ref="J52:J55" si="26">TRUNC((G52*H52),2)</f>
        <v>24.48</v>
      </c>
      <c r="K52" s="53">
        <f t="shared" ref="K52:K55" si="27">TRUNC((G52*I52),2)</f>
        <v>27.97</v>
      </c>
      <c r="L52" s="54">
        <f t="shared" si="24"/>
        <v>1.7741088532934837E-5</v>
      </c>
    </row>
    <row r="53" spans="2:12" ht="51" x14ac:dyDescent="0.2">
      <c r="B53" s="48" t="s">
        <v>181</v>
      </c>
      <c r="C53" s="49" t="s">
        <v>19</v>
      </c>
      <c r="D53" s="32" t="s">
        <v>7</v>
      </c>
      <c r="E53" s="50" t="s">
        <v>20</v>
      </c>
      <c r="F53" s="51" t="s">
        <v>21</v>
      </c>
      <c r="G53" s="52">
        <f>MC!H246</f>
        <v>80.400000000000006</v>
      </c>
      <c r="H53" s="53">
        <v>54.54</v>
      </c>
      <c r="I53" s="53">
        <f t="shared" si="25"/>
        <v>65.489999999999995</v>
      </c>
      <c r="J53" s="53">
        <f t="shared" si="26"/>
        <v>4385.01</v>
      </c>
      <c r="K53" s="53">
        <f t="shared" si="27"/>
        <v>5265.39</v>
      </c>
      <c r="L53" s="54">
        <f t="shared" si="24"/>
        <v>3.3397837021962736E-3</v>
      </c>
    </row>
    <row r="54" spans="2:12" ht="25.5" x14ac:dyDescent="0.2">
      <c r="B54" s="48" t="s">
        <v>182</v>
      </c>
      <c r="C54" s="49" t="s">
        <v>23</v>
      </c>
      <c r="D54" s="32" t="s">
        <v>7</v>
      </c>
      <c r="E54" s="50" t="s">
        <v>24</v>
      </c>
      <c r="F54" s="51" t="s">
        <v>9</v>
      </c>
      <c r="G54" s="52">
        <f>MC!H252</f>
        <v>174.87</v>
      </c>
      <c r="H54" s="53">
        <v>87.2</v>
      </c>
      <c r="I54" s="53">
        <f t="shared" si="25"/>
        <v>104.71</v>
      </c>
      <c r="J54" s="53">
        <f t="shared" si="26"/>
        <v>15248.66</v>
      </c>
      <c r="K54" s="53">
        <f t="shared" si="27"/>
        <v>18310.63</v>
      </c>
      <c r="L54" s="54">
        <f t="shared" si="24"/>
        <v>1.1614247691233917E-2</v>
      </c>
    </row>
    <row r="55" spans="2:12" ht="26.1" customHeight="1" x14ac:dyDescent="0.2">
      <c r="B55" s="48" t="s">
        <v>183</v>
      </c>
      <c r="C55" s="49">
        <v>2</v>
      </c>
      <c r="D55" s="32" t="s">
        <v>132</v>
      </c>
      <c r="E55" s="50" t="s">
        <v>33</v>
      </c>
      <c r="F55" s="51" t="s">
        <v>12</v>
      </c>
      <c r="G55" s="52">
        <f>MC!H258</f>
        <v>2</v>
      </c>
      <c r="H55" s="53">
        <v>91.93</v>
      </c>
      <c r="I55" s="53">
        <f t="shared" si="25"/>
        <v>110.39</v>
      </c>
      <c r="J55" s="53">
        <f t="shared" si="26"/>
        <v>183.86</v>
      </c>
      <c r="K55" s="53">
        <f t="shared" si="27"/>
        <v>220.78</v>
      </c>
      <c r="L55" s="54">
        <f t="shared" si="24"/>
        <v>1.4003852435828936E-4</v>
      </c>
    </row>
    <row r="56" spans="2:12" ht="26.1" customHeight="1" x14ac:dyDescent="0.2">
      <c r="B56" s="42" t="s">
        <v>184</v>
      </c>
      <c r="C56" s="31"/>
      <c r="D56" s="31"/>
      <c r="E56" s="43" t="s">
        <v>152</v>
      </c>
      <c r="F56" s="43"/>
      <c r="G56" s="44"/>
      <c r="H56" s="45"/>
      <c r="I56" s="45"/>
      <c r="J56" s="46">
        <f>SUM(J57:J60)</f>
        <v>30731.360000000001</v>
      </c>
      <c r="K56" s="46">
        <f>SUM(K57:K60)</f>
        <v>36899.729999999996</v>
      </c>
      <c r="L56" s="47">
        <f t="shared" si="24"/>
        <v>2.3405126091218861E-2</v>
      </c>
    </row>
    <row r="57" spans="2:12" ht="26.1" customHeight="1" x14ac:dyDescent="0.2">
      <c r="B57" s="48" t="s">
        <v>185</v>
      </c>
      <c r="C57" s="49" t="s">
        <v>16</v>
      </c>
      <c r="D57" s="32" t="s">
        <v>7</v>
      </c>
      <c r="E57" s="50" t="s">
        <v>17</v>
      </c>
      <c r="F57" s="51" t="s">
        <v>9</v>
      </c>
      <c r="G57" s="52">
        <f>MC!H265</f>
        <v>296.8</v>
      </c>
      <c r="H57" s="53">
        <v>0.14000000000000001</v>
      </c>
      <c r="I57" s="53">
        <f t="shared" ref="I57:I60" si="28">TRUNC((H57*($H$3+1)),2)</f>
        <v>0.16</v>
      </c>
      <c r="J57" s="53">
        <f t="shared" ref="J57:J60" si="29">TRUNC((G57*H57),2)</f>
        <v>41.55</v>
      </c>
      <c r="K57" s="53">
        <f t="shared" ref="K57:K60" si="30">TRUNC((G57*I57),2)</f>
        <v>47.48</v>
      </c>
      <c r="L57" s="54">
        <f t="shared" ref="L57:L61" si="31">K57/$I$86</f>
        <v>3.0116084502815377E-5</v>
      </c>
    </row>
    <row r="58" spans="2:12" ht="51" x14ac:dyDescent="0.2">
      <c r="B58" s="48" t="s">
        <v>186</v>
      </c>
      <c r="C58" s="49" t="s">
        <v>19</v>
      </c>
      <c r="D58" s="32" t="s">
        <v>7</v>
      </c>
      <c r="E58" s="50" t="s">
        <v>20</v>
      </c>
      <c r="F58" s="51" t="s">
        <v>21</v>
      </c>
      <c r="G58" s="52">
        <f>MC!H271</f>
        <v>84.8</v>
      </c>
      <c r="H58" s="53">
        <v>54.54</v>
      </c>
      <c r="I58" s="53">
        <f t="shared" si="28"/>
        <v>65.489999999999995</v>
      </c>
      <c r="J58" s="53">
        <f t="shared" si="29"/>
        <v>4624.99</v>
      </c>
      <c r="K58" s="53">
        <f t="shared" si="30"/>
        <v>5553.55</v>
      </c>
      <c r="L58" s="54">
        <f t="shared" si="31"/>
        <v>3.5225606800886764E-3</v>
      </c>
    </row>
    <row r="59" spans="2:12" ht="25.5" x14ac:dyDescent="0.2">
      <c r="B59" s="48" t="s">
        <v>187</v>
      </c>
      <c r="C59" s="49" t="s">
        <v>23</v>
      </c>
      <c r="D59" s="32" t="s">
        <v>7</v>
      </c>
      <c r="E59" s="50" t="s">
        <v>24</v>
      </c>
      <c r="F59" s="51" t="s">
        <v>9</v>
      </c>
      <c r="G59" s="52">
        <f>MC!H277</f>
        <v>296.8</v>
      </c>
      <c r="H59" s="53">
        <v>87.2</v>
      </c>
      <c r="I59" s="53">
        <f t="shared" si="28"/>
        <v>104.71</v>
      </c>
      <c r="J59" s="53">
        <f t="shared" si="29"/>
        <v>25880.959999999999</v>
      </c>
      <c r="K59" s="53">
        <f t="shared" si="30"/>
        <v>31077.919999999998</v>
      </c>
      <c r="L59" s="54">
        <f t="shared" si="31"/>
        <v>1.9712410802269084E-2</v>
      </c>
    </row>
    <row r="60" spans="2:12" ht="25.5" x14ac:dyDescent="0.2">
      <c r="B60" s="48" t="s">
        <v>188</v>
      </c>
      <c r="C60" s="49">
        <v>2</v>
      </c>
      <c r="D60" s="32" t="s">
        <v>132</v>
      </c>
      <c r="E60" s="50" t="s">
        <v>33</v>
      </c>
      <c r="F60" s="51" t="s">
        <v>12</v>
      </c>
      <c r="G60" s="52">
        <f>MC!H283</f>
        <v>2</v>
      </c>
      <c r="H60" s="53">
        <v>91.93</v>
      </c>
      <c r="I60" s="53">
        <f t="shared" si="28"/>
        <v>110.39</v>
      </c>
      <c r="J60" s="53">
        <f t="shared" si="29"/>
        <v>183.86</v>
      </c>
      <c r="K60" s="53">
        <f t="shared" si="30"/>
        <v>220.78</v>
      </c>
      <c r="L60" s="54">
        <f t="shared" si="31"/>
        <v>1.4003852435828936E-4</v>
      </c>
    </row>
    <row r="61" spans="2:12" ht="24" customHeight="1" x14ac:dyDescent="0.2">
      <c r="B61" s="42">
        <v>6</v>
      </c>
      <c r="C61" s="31"/>
      <c r="D61" s="31"/>
      <c r="E61" s="43" t="s">
        <v>153</v>
      </c>
      <c r="F61" s="43"/>
      <c r="G61" s="44"/>
      <c r="H61" s="45"/>
      <c r="I61" s="45"/>
      <c r="J61" s="46">
        <f>J62+J67</f>
        <v>94103.010000000009</v>
      </c>
      <c r="K61" s="46">
        <f>K62+K67</f>
        <v>112991.04999999999</v>
      </c>
      <c r="L61" s="47">
        <f t="shared" si="31"/>
        <v>7.1669081926323444E-2</v>
      </c>
    </row>
    <row r="62" spans="2:12" ht="24" customHeight="1" x14ac:dyDescent="0.2">
      <c r="B62" s="42" t="s">
        <v>149</v>
      </c>
      <c r="C62" s="31"/>
      <c r="D62" s="31"/>
      <c r="E62" s="43" t="s">
        <v>156</v>
      </c>
      <c r="F62" s="43"/>
      <c r="G62" s="44"/>
      <c r="H62" s="45"/>
      <c r="I62" s="45"/>
      <c r="J62" s="46">
        <f>SUM(J63:J66)</f>
        <v>36783.22</v>
      </c>
      <c r="K62" s="46">
        <f>SUM(K63:K66)</f>
        <v>44166.32</v>
      </c>
      <c r="L62" s="47">
        <f t="shared" ref="L62:L67" si="32">K62/$I$86</f>
        <v>2.8014250743436917E-2</v>
      </c>
    </row>
    <row r="63" spans="2:12" ht="26.1" customHeight="1" x14ac:dyDescent="0.2">
      <c r="B63" s="48" t="s">
        <v>161</v>
      </c>
      <c r="C63" s="49" t="s">
        <v>16</v>
      </c>
      <c r="D63" s="32" t="s">
        <v>7</v>
      </c>
      <c r="E63" s="50" t="s">
        <v>17</v>
      </c>
      <c r="F63" s="51" t="s">
        <v>9</v>
      </c>
      <c r="G63" s="52">
        <f>MC!H291</f>
        <v>355.59999999999997</v>
      </c>
      <c r="H63" s="53">
        <v>0.14000000000000001</v>
      </c>
      <c r="I63" s="53">
        <f t="shared" ref="I63:I66" si="33">TRUNC((H63*($H$3+1)),2)</f>
        <v>0.16</v>
      </c>
      <c r="J63" s="53">
        <f t="shared" ref="J63:J66" si="34">TRUNC((G63*H63),2)</f>
        <v>49.78</v>
      </c>
      <c r="K63" s="53">
        <f t="shared" ref="K63:K66" si="35">TRUNC((G63*I63),2)</f>
        <v>56.89</v>
      </c>
      <c r="L63" s="54">
        <f t="shared" si="32"/>
        <v>3.6084752471886411E-5</v>
      </c>
    </row>
    <row r="64" spans="2:12" ht="51" x14ac:dyDescent="0.2">
      <c r="B64" s="48" t="s">
        <v>162</v>
      </c>
      <c r="C64" s="49" t="s">
        <v>19</v>
      </c>
      <c r="D64" s="32" t="s">
        <v>7</v>
      </c>
      <c r="E64" s="50" t="s">
        <v>20</v>
      </c>
      <c r="F64" s="51" t="s">
        <v>21</v>
      </c>
      <c r="G64" s="52">
        <f>MC!H297</f>
        <v>101.6</v>
      </c>
      <c r="H64" s="53">
        <v>54.54</v>
      </c>
      <c r="I64" s="53">
        <f t="shared" si="33"/>
        <v>65.489999999999995</v>
      </c>
      <c r="J64" s="53">
        <f t="shared" si="34"/>
        <v>5541.26</v>
      </c>
      <c r="K64" s="53">
        <f t="shared" si="35"/>
        <v>6653.78</v>
      </c>
      <c r="L64" s="54">
        <f t="shared" si="32"/>
        <v>4.2204254579431954E-3</v>
      </c>
    </row>
    <row r="65" spans="2:12" ht="26.1" customHeight="1" x14ac:dyDescent="0.2">
      <c r="B65" s="48" t="s">
        <v>163</v>
      </c>
      <c r="C65" s="49" t="s">
        <v>23</v>
      </c>
      <c r="D65" s="32" t="s">
        <v>7</v>
      </c>
      <c r="E65" s="50" t="s">
        <v>24</v>
      </c>
      <c r="F65" s="51" t="s">
        <v>9</v>
      </c>
      <c r="G65" s="52">
        <f>MC!H303</f>
        <v>355.59999999999997</v>
      </c>
      <c r="H65" s="53">
        <v>87.2</v>
      </c>
      <c r="I65" s="53">
        <f t="shared" si="33"/>
        <v>104.71</v>
      </c>
      <c r="J65" s="53">
        <f t="shared" si="34"/>
        <v>31008.32</v>
      </c>
      <c r="K65" s="53">
        <f t="shared" si="35"/>
        <v>37234.870000000003</v>
      </c>
      <c r="L65" s="54">
        <f t="shared" si="32"/>
        <v>2.361770200866355E-2</v>
      </c>
    </row>
    <row r="66" spans="2:12" ht="26.1" customHeight="1" x14ac:dyDescent="0.2">
      <c r="B66" s="48" t="s">
        <v>164</v>
      </c>
      <c r="C66" s="49">
        <v>2</v>
      </c>
      <c r="D66" s="32" t="s">
        <v>132</v>
      </c>
      <c r="E66" s="50" t="s">
        <v>33</v>
      </c>
      <c r="F66" s="51" t="s">
        <v>12</v>
      </c>
      <c r="G66" s="52">
        <f>MC!H309</f>
        <v>2</v>
      </c>
      <c r="H66" s="53">
        <v>91.93</v>
      </c>
      <c r="I66" s="53">
        <f t="shared" si="33"/>
        <v>110.39</v>
      </c>
      <c r="J66" s="53">
        <f t="shared" si="34"/>
        <v>183.86</v>
      </c>
      <c r="K66" s="53">
        <f t="shared" si="35"/>
        <v>220.78</v>
      </c>
      <c r="L66" s="54">
        <f t="shared" si="32"/>
        <v>1.4003852435828936E-4</v>
      </c>
    </row>
    <row r="67" spans="2:12" ht="26.1" customHeight="1" x14ac:dyDescent="0.2">
      <c r="B67" s="42" t="s">
        <v>150</v>
      </c>
      <c r="C67" s="31"/>
      <c r="D67" s="31"/>
      <c r="E67" s="43" t="s">
        <v>157</v>
      </c>
      <c r="F67" s="43"/>
      <c r="G67" s="44"/>
      <c r="H67" s="45"/>
      <c r="I67" s="45"/>
      <c r="J67" s="46">
        <f>SUM(J68:J71)</f>
        <v>57319.79</v>
      </c>
      <c r="K67" s="46">
        <f>SUM(K68:K71)</f>
        <v>68824.73</v>
      </c>
      <c r="L67" s="47">
        <f t="shared" si="32"/>
        <v>4.365483118288653E-2</v>
      </c>
    </row>
    <row r="68" spans="2:12" ht="26.1" customHeight="1" x14ac:dyDescent="0.2">
      <c r="B68" s="48" t="s">
        <v>165</v>
      </c>
      <c r="C68" s="49" t="s">
        <v>16</v>
      </c>
      <c r="D68" s="32" t="s">
        <v>7</v>
      </c>
      <c r="E68" s="50" t="s">
        <v>17</v>
      </c>
      <c r="F68" s="51" t="s">
        <v>9</v>
      </c>
      <c r="G68" s="52">
        <f>MC!H316</f>
        <v>600.6</v>
      </c>
      <c r="H68" s="53">
        <v>0.14000000000000001</v>
      </c>
      <c r="I68" s="53">
        <f t="shared" ref="I68:I71" si="36">TRUNC((H68*($H$3+1)),2)</f>
        <v>0.16</v>
      </c>
      <c r="J68" s="53">
        <f t="shared" ref="J68:J71" si="37">TRUNC((G68*H68),2)</f>
        <v>84.08</v>
      </c>
      <c r="K68" s="53">
        <f t="shared" ref="K68:K71" si="38">TRUNC((G68*I68),2)</f>
        <v>96.09</v>
      </c>
      <c r="L68" s="54">
        <f t="shared" ref="L68:L77" si="39">K68/$I$86</f>
        <v>6.0948916593840141E-5</v>
      </c>
    </row>
    <row r="69" spans="2:12" ht="51" x14ac:dyDescent="0.2">
      <c r="B69" s="48" t="s">
        <v>166</v>
      </c>
      <c r="C69" s="49" t="s">
        <v>19</v>
      </c>
      <c r="D69" s="32" t="s">
        <v>7</v>
      </c>
      <c r="E69" s="50" t="s">
        <v>20</v>
      </c>
      <c r="F69" s="51" t="s">
        <v>21</v>
      </c>
      <c r="G69" s="52">
        <f>MC!H322</f>
        <v>85.8</v>
      </c>
      <c r="H69" s="53">
        <v>54.54</v>
      </c>
      <c r="I69" s="53">
        <f t="shared" si="36"/>
        <v>65.489999999999995</v>
      </c>
      <c r="J69" s="53">
        <f t="shared" si="37"/>
        <v>4679.53</v>
      </c>
      <c r="K69" s="53">
        <f t="shared" si="38"/>
        <v>5619.04</v>
      </c>
      <c r="L69" s="54">
        <f t="shared" si="39"/>
        <v>3.5641003257097666E-3</v>
      </c>
    </row>
    <row r="70" spans="2:12" ht="26.1" customHeight="1" x14ac:dyDescent="0.2">
      <c r="B70" s="48" t="s">
        <v>167</v>
      </c>
      <c r="C70" s="49" t="s">
        <v>23</v>
      </c>
      <c r="D70" s="32" t="s">
        <v>7</v>
      </c>
      <c r="E70" s="50" t="s">
        <v>24</v>
      </c>
      <c r="F70" s="51" t="s">
        <v>9</v>
      </c>
      <c r="G70" s="52">
        <f>MC!H328</f>
        <v>600.6</v>
      </c>
      <c r="H70" s="53">
        <v>87.2</v>
      </c>
      <c r="I70" s="53">
        <f t="shared" si="36"/>
        <v>104.71</v>
      </c>
      <c r="J70" s="53">
        <f t="shared" si="37"/>
        <v>52372.32</v>
      </c>
      <c r="K70" s="53">
        <f t="shared" si="38"/>
        <v>62888.82</v>
      </c>
      <c r="L70" s="54">
        <f t="shared" si="39"/>
        <v>3.9889743416224636E-2</v>
      </c>
    </row>
    <row r="71" spans="2:12" ht="26.1" customHeight="1" x14ac:dyDescent="0.2">
      <c r="B71" s="48" t="s">
        <v>168</v>
      </c>
      <c r="C71" s="49">
        <v>2</v>
      </c>
      <c r="D71" s="32" t="s">
        <v>132</v>
      </c>
      <c r="E71" s="50" t="s">
        <v>33</v>
      </c>
      <c r="F71" s="51" t="s">
        <v>12</v>
      </c>
      <c r="G71" s="52">
        <f>MC!H334</f>
        <v>2</v>
      </c>
      <c r="H71" s="53">
        <v>91.93</v>
      </c>
      <c r="I71" s="53">
        <f t="shared" si="36"/>
        <v>110.39</v>
      </c>
      <c r="J71" s="53">
        <f t="shared" si="37"/>
        <v>183.86</v>
      </c>
      <c r="K71" s="53">
        <f t="shared" si="38"/>
        <v>220.78</v>
      </c>
      <c r="L71" s="54">
        <f t="shared" si="39"/>
        <v>1.4003852435828936E-4</v>
      </c>
    </row>
    <row r="72" spans="2:12" ht="19.5" customHeight="1" x14ac:dyDescent="0.2">
      <c r="B72" s="42">
        <v>7</v>
      </c>
      <c r="C72" s="31"/>
      <c r="D72" s="31"/>
      <c r="E72" s="43" t="s">
        <v>158</v>
      </c>
      <c r="F72" s="43"/>
      <c r="G72" s="44"/>
      <c r="H72" s="45"/>
      <c r="I72" s="45"/>
      <c r="J72" s="46">
        <f>J73+J78</f>
        <v>54598.16</v>
      </c>
      <c r="K72" s="46">
        <f>K73+K78</f>
        <v>65557.26999999999</v>
      </c>
      <c r="L72" s="47">
        <f t="shared" si="39"/>
        <v>4.1582314302735533E-2</v>
      </c>
    </row>
    <row r="73" spans="2:12" x14ac:dyDescent="0.2">
      <c r="B73" s="42" t="s">
        <v>154</v>
      </c>
      <c r="C73" s="31"/>
      <c r="D73" s="31"/>
      <c r="E73" s="43" t="s">
        <v>159</v>
      </c>
      <c r="F73" s="43"/>
      <c r="G73" s="44"/>
      <c r="H73" s="45"/>
      <c r="I73" s="45"/>
      <c r="J73" s="46">
        <f>SUM(J74:J77)</f>
        <v>29404.35</v>
      </c>
      <c r="K73" s="46">
        <f>SUM(K74:K77)</f>
        <v>35306.46</v>
      </c>
      <c r="L73" s="47">
        <f t="shared" si="39"/>
        <v>2.2394531020540669E-2</v>
      </c>
    </row>
    <row r="74" spans="2:12" x14ac:dyDescent="0.2">
      <c r="B74" s="48" t="s">
        <v>169</v>
      </c>
      <c r="C74" s="49" t="s">
        <v>16</v>
      </c>
      <c r="D74" s="32" t="s">
        <v>7</v>
      </c>
      <c r="E74" s="50" t="s">
        <v>17</v>
      </c>
      <c r="F74" s="51" t="s">
        <v>9</v>
      </c>
      <c r="G74" s="52">
        <f>MC!H343</f>
        <v>269.05500000000006</v>
      </c>
      <c r="H74" s="53">
        <v>0.14000000000000001</v>
      </c>
      <c r="I74" s="53">
        <f t="shared" ref="I74:I77" si="40">TRUNC((H74*($H$3+1)),2)</f>
        <v>0.16</v>
      </c>
      <c r="J74" s="53">
        <f t="shared" ref="J74:J77" si="41">TRUNC((G74*H74),2)</f>
        <v>37.659999999999997</v>
      </c>
      <c r="K74" s="53">
        <f t="shared" ref="K74:K77" si="42">TRUNC((G74*I74),2)</f>
        <v>43.04</v>
      </c>
      <c r="L74" s="54">
        <f t="shared" si="39"/>
        <v>2.7299837342063475E-5</v>
      </c>
    </row>
    <row r="75" spans="2:12" ht="51" x14ac:dyDescent="0.2">
      <c r="B75" s="48" t="s">
        <v>170</v>
      </c>
      <c r="C75" s="49" t="s">
        <v>19</v>
      </c>
      <c r="D75" s="32" t="s">
        <v>7</v>
      </c>
      <c r="E75" s="50" t="s">
        <v>20</v>
      </c>
      <c r="F75" s="51" t="s">
        <v>21</v>
      </c>
      <c r="G75" s="52">
        <f>MC!H349</f>
        <v>104.9</v>
      </c>
      <c r="H75" s="53">
        <v>54.54</v>
      </c>
      <c r="I75" s="53">
        <f t="shared" si="40"/>
        <v>65.489999999999995</v>
      </c>
      <c r="J75" s="53">
        <f t="shared" si="41"/>
        <v>5721.24</v>
      </c>
      <c r="K75" s="53">
        <f t="shared" si="42"/>
        <v>6869.9</v>
      </c>
      <c r="L75" s="54">
        <f t="shared" si="39"/>
        <v>4.3575081913624965E-3</v>
      </c>
    </row>
    <row r="76" spans="2:12" ht="25.5" x14ac:dyDescent="0.2">
      <c r="B76" s="48" t="s">
        <v>171</v>
      </c>
      <c r="C76" s="49" t="s">
        <v>23</v>
      </c>
      <c r="D76" s="32" t="s">
        <v>7</v>
      </c>
      <c r="E76" s="50" t="s">
        <v>24</v>
      </c>
      <c r="F76" s="51" t="s">
        <v>9</v>
      </c>
      <c r="G76" s="52">
        <f>MC!H356</f>
        <v>269.05500000000006</v>
      </c>
      <c r="H76" s="53">
        <v>87.2</v>
      </c>
      <c r="I76" s="53">
        <f t="shared" si="40"/>
        <v>104.71</v>
      </c>
      <c r="J76" s="53">
        <f t="shared" si="41"/>
        <v>23461.59</v>
      </c>
      <c r="K76" s="53">
        <f t="shared" si="42"/>
        <v>28172.74</v>
      </c>
      <c r="L76" s="54">
        <f t="shared" si="39"/>
        <v>1.7869684467477821E-2</v>
      </c>
    </row>
    <row r="77" spans="2:12" ht="25.5" x14ac:dyDescent="0.2">
      <c r="B77" s="48" t="s">
        <v>172</v>
      </c>
      <c r="C77" s="49">
        <v>2</v>
      </c>
      <c r="D77" s="32" t="s">
        <v>132</v>
      </c>
      <c r="E77" s="50" t="s">
        <v>33</v>
      </c>
      <c r="F77" s="51" t="s">
        <v>12</v>
      </c>
      <c r="G77" s="52">
        <f>MC!H362</f>
        <v>2</v>
      </c>
      <c r="H77" s="53">
        <v>91.93</v>
      </c>
      <c r="I77" s="53">
        <f t="shared" si="40"/>
        <v>110.39</v>
      </c>
      <c r="J77" s="53">
        <f t="shared" si="41"/>
        <v>183.86</v>
      </c>
      <c r="K77" s="53">
        <f t="shared" si="42"/>
        <v>220.78</v>
      </c>
      <c r="L77" s="54">
        <f t="shared" si="39"/>
        <v>1.4003852435828936E-4</v>
      </c>
    </row>
    <row r="78" spans="2:12" ht="26.1" customHeight="1" x14ac:dyDescent="0.2">
      <c r="B78" s="42" t="s">
        <v>155</v>
      </c>
      <c r="C78" s="31"/>
      <c r="D78" s="31"/>
      <c r="E78" s="43" t="s">
        <v>160</v>
      </c>
      <c r="F78" s="43"/>
      <c r="G78" s="44"/>
      <c r="H78" s="45"/>
      <c r="I78" s="45"/>
      <c r="J78" s="46">
        <f>SUM(J79:J82)</f>
        <v>25193.81</v>
      </c>
      <c r="K78" s="46">
        <f>SUM(K79:K82)</f>
        <v>30250.809999999998</v>
      </c>
      <c r="L78" s="47">
        <f t="shared" ref="L78:L82" si="43">K78/$I$86</f>
        <v>1.9187783282194868E-2</v>
      </c>
    </row>
    <row r="79" spans="2:12" ht="26.1" customHeight="1" x14ac:dyDescent="0.2">
      <c r="B79" s="48" t="s">
        <v>173</v>
      </c>
      <c r="C79" s="49" t="s">
        <v>16</v>
      </c>
      <c r="D79" s="32" t="s">
        <v>7</v>
      </c>
      <c r="E79" s="50" t="s">
        <v>17</v>
      </c>
      <c r="F79" s="51" t="s">
        <v>9</v>
      </c>
      <c r="G79" s="52">
        <f>MC!H371</f>
        <v>225.34250000000003</v>
      </c>
      <c r="H79" s="53">
        <v>0.14000000000000001</v>
      </c>
      <c r="I79" s="53">
        <f t="shared" ref="I79:I82" si="44">TRUNC((H79*($H$3+1)),2)</f>
        <v>0.16</v>
      </c>
      <c r="J79" s="53">
        <f t="shared" ref="J79:J82" si="45">TRUNC((G79*H79),2)</f>
        <v>31.54</v>
      </c>
      <c r="K79" s="53">
        <f t="shared" ref="K79:K82" si="46">TRUNC((G79*I79),2)</f>
        <v>36.049999999999997</v>
      </c>
      <c r="L79" s="54">
        <f t="shared" si="43"/>
        <v>2.286615093358244E-5</v>
      </c>
    </row>
    <row r="80" spans="2:12" ht="51" x14ac:dyDescent="0.2">
      <c r="B80" s="48" t="s">
        <v>174</v>
      </c>
      <c r="C80" s="49" t="s">
        <v>19</v>
      </c>
      <c r="D80" s="32" t="s">
        <v>7</v>
      </c>
      <c r="E80" s="50" t="s">
        <v>20</v>
      </c>
      <c r="F80" s="51" t="s">
        <v>21</v>
      </c>
      <c r="G80" s="52">
        <f>MC!H377</f>
        <v>97.7</v>
      </c>
      <c r="H80" s="53">
        <v>54.54</v>
      </c>
      <c r="I80" s="53">
        <f t="shared" si="44"/>
        <v>65.489999999999995</v>
      </c>
      <c r="J80" s="53">
        <f t="shared" si="45"/>
        <v>5328.55</v>
      </c>
      <c r="K80" s="53">
        <f t="shared" si="46"/>
        <v>6398.37</v>
      </c>
      <c r="L80" s="54">
        <f t="shared" si="43"/>
        <v>4.0584214743108428E-3</v>
      </c>
    </row>
    <row r="81" spans="2:14" ht="26.1" customHeight="1" x14ac:dyDescent="0.2">
      <c r="B81" s="48" t="s">
        <v>175</v>
      </c>
      <c r="C81" s="49" t="s">
        <v>23</v>
      </c>
      <c r="D81" s="32" t="s">
        <v>7</v>
      </c>
      <c r="E81" s="50" t="s">
        <v>24</v>
      </c>
      <c r="F81" s="51" t="s">
        <v>9</v>
      </c>
      <c r="G81" s="52">
        <f>MC!H385</f>
        <v>225.34250000000003</v>
      </c>
      <c r="H81" s="53">
        <v>87.2</v>
      </c>
      <c r="I81" s="53">
        <f t="shared" si="44"/>
        <v>104.71</v>
      </c>
      <c r="J81" s="53">
        <f t="shared" si="45"/>
        <v>19649.86</v>
      </c>
      <c r="K81" s="53">
        <f t="shared" si="46"/>
        <v>23595.61</v>
      </c>
      <c r="L81" s="54">
        <f t="shared" si="43"/>
        <v>1.4966457132592157E-2</v>
      </c>
    </row>
    <row r="82" spans="2:14" ht="26.1" customHeight="1" x14ac:dyDescent="0.2">
      <c r="B82" s="48" t="s">
        <v>176</v>
      </c>
      <c r="C82" s="49">
        <v>2</v>
      </c>
      <c r="D82" s="32" t="s">
        <v>132</v>
      </c>
      <c r="E82" s="50" t="s">
        <v>33</v>
      </c>
      <c r="F82" s="51" t="s">
        <v>12</v>
      </c>
      <c r="G82" s="52">
        <f>MC!H391</f>
        <v>2</v>
      </c>
      <c r="H82" s="53">
        <v>91.93</v>
      </c>
      <c r="I82" s="53">
        <f t="shared" si="44"/>
        <v>110.39</v>
      </c>
      <c r="J82" s="53">
        <f t="shared" si="45"/>
        <v>183.86</v>
      </c>
      <c r="K82" s="53">
        <f t="shared" si="46"/>
        <v>220.78</v>
      </c>
      <c r="L82" s="54">
        <f t="shared" si="43"/>
        <v>1.4003852435828936E-4</v>
      </c>
    </row>
    <row r="83" spans="2:14" x14ac:dyDescent="0.2">
      <c r="B83" s="55"/>
      <c r="C83" s="33"/>
      <c r="D83" s="33"/>
      <c r="E83" s="33"/>
      <c r="F83" s="33"/>
      <c r="G83" s="33"/>
      <c r="H83" s="56"/>
      <c r="I83" s="56"/>
      <c r="J83" s="56"/>
      <c r="K83" s="56"/>
      <c r="L83" s="57"/>
    </row>
    <row r="84" spans="2:14" x14ac:dyDescent="0.2">
      <c r="B84" s="205"/>
      <c r="C84" s="206"/>
      <c r="D84" s="206"/>
      <c r="E84" s="59"/>
      <c r="F84" s="58"/>
      <c r="G84" s="207" t="s">
        <v>72</v>
      </c>
      <c r="H84" s="206"/>
      <c r="I84" s="208">
        <f>J19+J13+J9+J6+J50+J61+J72</f>
        <v>1313236.9400000002</v>
      </c>
      <c r="J84" s="208"/>
      <c r="K84" s="206"/>
      <c r="L84" s="209"/>
    </row>
    <row r="85" spans="2:14" x14ac:dyDescent="0.2">
      <c r="B85" s="205"/>
      <c r="C85" s="206"/>
      <c r="D85" s="206"/>
      <c r="E85" s="59"/>
      <c r="F85" s="58"/>
      <c r="G85" s="207" t="s">
        <v>73</v>
      </c>
      <c r="H85" s="206"/>
      <c r="I85" s="208">
        <f>I86-I84</f>
        <v>263329.23</v>
      </c>
      <c r="J85" s="208"/>
      <c r="K85" s="206"/>
      <c r="L85" s="209"/>
    </row>
    <row r="86" spans="2:14" x14ac:dyDescent="0.2">
      <c r="B86" s="205"/>
      <c r="C86" s="206"/>
      <c r="D86" s="206"/>
      <c r="E86" s="59"/>
      <c r="F86" s="58"/>
      <c r="G86" s="207" t="s">
        <v>74</v>
      </c>
      <c r="H86" s="206"/>
      <c r="I86" s="208">
        <f>K19+K13+K9+K6+K50+K61+K72</f>
        <v>1576566.1700000002</v>
      </c>
      <c r="J86" s="208"/>
      <c r="K86" s="206"/>
      <c r="L86" s="209"/>
      <c r="M86" s="144">
        <f>1300000*N86</f>
        <v>1560000</v>
      </c>
      <c r="N86" s="35">
        <v>1.2</v>
      </c>
    </row>
    <row r="87" spans="2:14" ht="60" customHeight="1" x14ac:dyDescent="0.2">
      <c r="B87" s="60"/>
      <c r="C87" s="34"/>
      <c r="D87" s="34"/>
      <c r="E87" s="34"/>
      <c r="F87" s="34"/>
      <c r="G87" s="34"/>
      <c r="H87" s="61"/>
      <c r="I87" s="61"/>
      <c r="J87" s="61"/>
      <c r="K87" s="61"/>
      <c r="L87" s="62"/>
      <c r="M87" s="145">
        <f>M86-I86</f>
        <v>-16566.170000000158</v>
      </c>
    </row>
    <row r="88" spans="2:14" ht="69.95" customHeight="1" thickBot="1" x14ac:dyDescent="0.25">
      <c r="B88" s="210" t="s">
        <v>207</v>
      </c>
      <c r="C88" s="211"/>
      <c r="D88" s="211"/>
      <c r="E88" s="211"/>
      <c r="F88" s="211"/>
      <c r="G88" s="211"/>
      <c r="H88" s="211"/>
      <c r="I88" s="211"/>
      <c r="J88" s="211"/>
      <c r="K88" s="211"/>
      <c r="L88" s="212"/>
    </row>
  </sheetData>
  <mergeCells count="17">
    <mergeCell ref="F2:G2"/>
    <mergeCell ref="H2:I2"/>
    <mergeCell ref="K2:L2"/>
    <mergeCell ref="F3:G3"/>
    <mergeCell ref="H3:I3"/>
    <mergeCell ref="K3:L3"/>
    <mergeCell ref="B86:D86"/>
    <mergeCell ref="G86:H86"/>
    <mergeCell ref="I86:L86"/>
    <mergeCell ref="B88:L88"/>
    <mergeCell ref="B4:L4"/>
    <mergeCell ref="B84:D84"/>
    <mergeCell ref="G84:H84"/>
    <mergeCell ref="I84:L84"/>
    <mergeCell ref="B85:D85"/>
    <mergeCell ref="G85:H85"/>
    <mergeCell ref="I85:L85"/>
  </mergeCells>
  <phoneticPr fontId="32" type="noConversion"/>
  <pageMargins left="0.26" right="0.28000000000000003" top="0.63" bottom="1" header="0.23" footer="0.5"/>
  <pageSetup paperSize="9" scale="78" fitToHeight="0" orientation="landscape" r:id="rId1"/>
  <headerFooter>
    <oddHeader>&amp;L &amp;CSecretaria de Infraestrutura
CNPJ: 10.191.799/0001-02 &amp;R</oddHeader>
    <oddFooter>&amp;L &amp;CRua Desembargador Felismino Guedes  - Centro - Cupira / PE
 / infraestrutura@cupira.pe.gov.br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3DC8-F533-4CFB-8908-7E8E9899A0C4}">
  <dimension ref="B3:I392"/>
  <sheetViews>
    <sheetView view="pageBreakPreview" topLeftCell="A88" zoomScaleNormal="100" zoomScaleSheetLayoutView="100" workbookViewId="0">
      <selection activeCell="L21" sqref="L21"/>
    </sheetView>
  </sheetViews>
  <sheetFormatPr defaultRowHeight="12.75" x14ac:dyDescent="0.2"/>
  <cols>
    <col min="1" max="1" width="9" style="1"/>
    <col min="2" max="2" width="9" style="2"/>
    <col min="3" max="3" width="44" style="1" customWidth="1"/>
    <col min="4" max="4" width="13.125" style="2" bestFit="1" customWidth="1"/>
    <col min="5" max="5" width="12" style="1" customWidth="1"/>
    <col min="6" max="6" width="11.5" style="2" bestFit="1" customWidth="1"/>
    <col min="7" max="7" width="9.875" style="1" bestFit="1" customWidth="1"/>
    <col min="8" max="8" width="9.375" style="3" customWidth="1"/>
    <col min="9" max="9" width="8.875" style="2" customWidth="1"/>
    <col min="10" max="16384" width="9" style="1"/>
  </cols>
  <sheetData>
    <row r="3" spans="2:9" ht="13.5" thickBot="1" x14ac:dyDescent="0.25"/>
    <row r="4" spans="2:9" x14ac:dyDescent="0.2">
      <c r="B4" s="131"/>
      <c r="C4" s="132"/>
      <c r="D4" s="133"/>
      <c r="E4" s="132"/>
      <c r="F4" s="133"/>
      <c r="G4" s="132"/>
      <c r="H4" s="134"/>
      <c r="I4" s="135"/>
    </row>
    <row r="5" spans="2:9" x14ac:dyDescent="0.2">
      <c r="B5" s="5"/>
      <c r="H5" s="6"/>
      <c r="I5" s="7"/>
    </row>
    <row r="6" spans="2:9" x14ac:dyDescent="0.2">
      <c r="B6" s="5"/>
      <c r="H6" s="6"/>
      <c r="I6" s="7"/>
    </row>
    <row r="7" spans="2:9" x14ac:dyDescent="0.2">
      <c r="B7" s="5"/>
      <c r="H7" s="6"/>
      <c r="I7" s="7"/>
    </row>
    <row r="8" spans="2:9" x14ac:dyDescent="0.2">
      <c r="B8" s="5"/>
      <c r="H8" s="6"/>
      <c r="I8" s="7"/>
    </row>
    <row r="9" spans="2:9" x14ac:dyDescent="0.2">
      <c r="B9" s="5"/>
      <c r="H9" s="6"/>
      <c r="I9" s="7"/>
    </row>
    <row r="10" spans="2:9" x14ac:dyDescent="0.2">
      <c r="B10" s="5"/>
      <c r="H10" s="6"/>
      <c r="I10" s="7"/>
    </row>
    <row r="11" spans="2:9" x14ac:dyDescent="0.2">
      <c r="B11" s="5"/>
      <c r="H11" s="6"/>
      <c r="I11" s="7"/>
    </row>
    <row r="12" spans="2:9" ht="3" customHeight="1" thickBot="1" x14ac:dyDescent="0.25">
      <c r="B12" s="5"/>
      <c r="H12" s="6"/>
      <c r="I12" s="7"/>
    </row>
    <row r="13" spans="2:9" x14ac:dyDescent="0.2">
      <c r="B13" s="223" t="s">
        <v>75</v>
      </c>
      <c r="C13" s="224"/>
      <c r="D13" s="224"/>
      <c r="E13" s="224"/>
      <c r="F13" s="224"/>
      <c r="G13" s="224"/>
      <c r="H13" s="224"/>
      <c r="I13" s="225"/>
    </row>
    <row r="14" spans="2:9" ht="15.75" customHeight="1" thickBot="1" x14ac:dyDescent="0.25">
      <c r="B14" s="226"/>
      <c r="C14" s="227"/>
      <c r="D14" s="227"/>
      <c r="E14" s="227"/>
      <c r="F14" s="227"/>
      <c r="G14" s="227"/>
      <c r="H14" s="227"/>
      <c r="I14" s="228"/>
    </row>
    <row r="15" spans="2:9" ht="16.5" customHeight="1" thickBot="1" x14ac:dyDescent="0.25">
      <c r="B15" s="128" t="s">
        <v>76</v>
      </c>
      <c r="C15" s="129" t="s">
        <v>77</v>
      </c>
      <c r="D15" s="129" t="s">
        <v>78</v>
      </c>
      <c r="E15" s="129" t="s">
        <v>79</v>
      </c>
      <c r="F15" s="129" t="s">
        <v>80</v>
      </c>
      <c r="G15" s="129" t="s">
        <v>81</v>
      </c>
      <c r="H15" s="129" t="s">
        <v>82</v>
      </c>
      <c r="I15" s="130" t="s">
        <v>83</v>
      </c>
    </row>
    <row r="16" spans="2:9" ht="16.5" customHeight="1" x14ac:dyDescent="0.2">
      <c r="B16" s="124" t="str">
        <f>PLAN!B6</f>
        <v xml:space="preserve"> 1 </v>
      </c>
      <c r="C16" s="94" t="str">
        <f>PLAN!E6</f>
        <v>SERVIÇOS PRELIMINARES</v>
      </c>
      <c r="D16" s="94"/>
      <c r="E16" s="94"/>
      <c r="F16" s="94"/>
      <c r="G16" s="94"/>
      <c r="H16" s="94"/>
      <c r="I16" s="125"/>
    </row>
    <row r="17" spans="2:9" s="4" customFormat="1" ht="38.25" x14ac:dyDescent="0.2">
      <c r="B17" s="69" t="str">
        <f>PLAN!B7</f>
        <v xml:space="preserve"> 1.1 </v>
      </c>
      <c r="C17" s="64" t="str">
        <f>PLAN!E7</f>
        <v>FORNECIMENTO E INSTALAÇÃO DE PLACA DE OBRA COM CHAPA GALVANIZADA E ESTRUTURA DE MADEIRA. AF_03/2022_PS</v>
      </c>
      <c r="D17" s="63" t="s">
        <v>84</v>
      </c>
      <c r="E17" s="63" t="s">
        <v>79</v>
      </c>
      <c r="F17" s="63"/>
      <c r="G17" s="63"/>
      <c r="H17" s="63" t="s">
        <v>82</v>
      </c>
      <c r="I17" s="116" t="s">
        <v>83</v>
      </c>
    </row>
    <row r="18" spans="2:9" x14ac:dyDescent="0.2">
      <c r="B18" s="112"/>
      <c r="C18" s="87"/>
      <c r="D18" s="88"/>
      <c r="E18" s="89"/>
      <c r="F18" s="88"/>
      <c r="G18" s="89"/>
      <c r="H18" s="88"/>
      <c r="I18" s="113"/>
    </row>
    <row r="19" spans="2:9" x14ac:dyDescent="0.2">
      <c r="B19" s="112"/>
      <c r="C19" s="90" t="s">
        <v>85</v>
      </c>
      <c r="D19" s="88">
        <v>2.5</v>
      </c>
      <c r="E19" s="89">
        <v>4</v>
      </c>
      <c r="F19" s="88"/>
      <c r="G19" s="89"/>
      <c r="H19" s="88">
        <f>PRODUCT(D19:G19)</f>
        <v>10</v>
      </c>
      <c r="I19" s="113" t="s">
        <v>86</v>
      </c>
    </row>
    <row r="20" spans="2:9" x14ac:dyDescent="0.2">
      <c r="B20" s="112"/>
      <c r="C20" s="87"/>
      <c r="D20" s="88"/>
      <c r="E20" s="89"/>
      <c r="F20" s="88"/>
      <c r="G20" s="89"/>
      <c r="H20" s="88"/>
      <c r="I20" s="113"/>
    </row>
    <row r="21" spans="2:9" x14ac:dyDescent="0.2">
      <c r="B21" s="114"/>
      <c r="C21" s="91"/>
      <c r="D21" s="222" t="s">
        <v>82</v>
      </c>
      <c r="E21" s="222"/>
      <c r="F21" s="222"/>
      <c r="G21" s="222"/>
      <c r="H21" s="92">
        <f>SUM(H18:H20)</f>
        <v>10</v>
      </c>
      <c r="I21" s="115" t="str">
        <f>I19</f>
        <v>M2</v>
      </c>
    </row>
    <row r="22" spans="2:9" x14ac:dyDescent="0.2">
      <c r="B22" s="112"/>
      <c r="C22" s="87"/>
      <c r="D22" s="93"/>
      <c r="E22" s="93"/>
      <c r="F22" s="93"/>
      <c r="G22" s="93"/>
      <c r="H22" s="88"/>
      <c r="I22" s="113"/>
    </row>
    <row r="23" spans="2:9" s="4" customFormat="1" ht="25.5" x14ac:dyDescent="0.2">
      <c r="B23" s="69" t="str">
        <f>PLAN!B8</f>
        <v xml:space="preserve"> 1.2 </v>
      </c>
      <c r="C23" s="64" t="str">
        <f>PLAN!E8</f>
        <v>ADMINISTRAÇÃO DE OBRA</v>
      </c>
      <c r="D23" s="63" t="s">
        <v>87</v>
      </c>
      <c r="E23" s="63" t="s">
        <v>88</v>
      </c>
      <c r="F23" s="63" t="s">
        <v>89</v>
      </c>
      <c r="G23" s="63" t="s">
        <v>90</v>
      </c>
      <c r="H23" s="63" t="s">
        <v>82</v>
      </c>
      <c r="I23" s="116" t="s">
        <v>83</v>
      </c>
    </row>
    <row r="24" spans="2:9" x14ac:dyDescent="0.2">
      <c r="B24" s="112"/>
      <c r="C24" s="87"/>
      <c r="D24" s="88"/>
      <c r="E24" s="89"/>
      <c r="F24" s="88"/>
      <c r="G24" s="89"/>
      <c r="H24" s="88"/>
      <c r="I24" s="113"/>
    </row>
    <row r="25" spans="2:9" x14ac:dyDescent="0.2">
      <c r="B25" s="112"/>
      <c r="C25" s="90" t="s">
        <v>91</v>
      </c>
      <c r="D25" s="88">
        <v>3</v>
      </c>
      <c r="E25" s="89">
        <v>3</v>
      </c>
      <c r="F25" s="88">
        <v>4</v>
      </c>
      <c r="G25" s="89">
        <v>6</v>
      </c>
      <c r="H25" s="88">
        <f>PRODUCT(D25:G25)</f>
        <v>216</v>
      </c>
      <c r="I25" s="113" t="s">
        <v>92</v>
      </c>
    </row>
    <row r="26" spans="2:9" x14ac:dyDescent="0.2">
      <c r="B26" s="112"/>
      <c r="C26" s="90" t="s">
        <v>93</v>
      </c>
      <c r="D26" s="88">
        <v>7.5</v>
      </c>
      <c r="E26" s="89">
        <v>5</v>
      </c>
      <c r="F26" s="88">
        <v>4</v>
      </c>
      <c r="G26" s="89">
        <v>6</v>
      </c>
      <c r="H26" s="88">
        <f>PRODUCT(D26:G26)</f>
        <v>900</v>
      </c>
      <c r="I26" s="113" t="s">
        <v>92</v>
      </c>
    </row>
    <row r="27" spans="2:9" x14ac:dyDescent="0.2">
      <c r="B27" s="112"/>
      <c r="C27" s="90"/>
      <c r="D27" s="88"/>
      <c r="E27" s="89"/>
      <c r="F27" s="88"/>
      <c r="G27" s="89"/>
      <c r="H27" s="88"/>
      <c r="I27" s="113"/>
    </row>
    <row r="28" spans="2:9" x14ac:dyDescent="0.2">
      <c r="B28" s="112"/>
      <c r="C28" s="90" t="s">
        <v>82</v>
      </c>
      <c r="D28" s="88"/>
      <c r="E28" s="89"/>
      <c r="F28" s="88"/>
      <c r="G28" s="89"/>
      <c r="H28" s="88">
        <v>1</v>
      </c>
      <c r="I28" s="113" t="s">
        <v>12</v>
      </c>
    </row>
    <row r="29" spans="2:9" x14ac:dyDescent="0.2">
      <c r="B29" s="112"/>
      <c r="C29" s="87"/>
      <c r="D29" s="88"/>
      <c r="E29" s="89"/>
      <c r="F29" s="88"/>
      <c r="G29" s="89"/>
      <c r="H29" s="88"/>
      <c r="I29" s="113"/>
    </row>
    <row r="30" spans="2:9" x14ac:dyDescent="0.2">
      <c r="B30" s="114"/>
      <c r="C30" s="91"/>
      <c r="D30" s="222" t="s">
        <v>82</v>
      </c>
      <c r="E30" s="222"/>
      <c r="F30" s="222"/>
      <c r="G30" s="222"/>
      <c r="H30" s="92">
        <f>H28</f>
        <v>1</v>
      </c>
      <c r="I30" s="115" t="str">
        <f>I28</f>
        <v>UN</v>
      </c>
    </row>
    <row r="31" spans="2:9" ht="13.5" thickBot="1" x14ac:dyDescent="0.25">
      <c r="B31" s="126"/>
      <c r="C31" s="95"/>
      <c r="D31" s="96"/>
      <c r="E31" s="97"/>
      <c r="F31" s="96"/>
      <c r="G31" s="97"/>
      <c r="H31" s="96"/>
      <c r="I31" s="127"/>
    </row>
    <row r="32" spans="2:9" ht="16.5" customHeight="1" x14ac:dyDescent="0.2">
      <c r="B32" s="124" t="str">
        <f>PLAN!B9</f>
        <v xml:space="preserve"> 2 </v>
      </c>
      <c r="C32" s="94" t="str">
        <f>PLAN!E9</f>
        <v>ESTRADA VILA DE IMBIRUÇU</v>
      </c>
      <c r="D32" s="94"/>
      <c r="E32" s="94"/>
      <c r="F32" s="94"/>
      <c r="G32" s="94"/>
      <c r="H32" s="94"/>
      <c r="I32" s="125"/>
    </row>
    <row r="33" spans="2:9" s="4" customFormat="1" ht="25.5" x14ac:dyDescent="0.2">
      <c r="B33" s="69" t="str">
        <f>PLAN!B10</f>
        <v xml:space="preserve"> 2.1 </v>
      </c>
      <c r="C33" s="64" t="str">
        <f>PLAN!E10</f>
        <v>REGULARIZAÇÃO DE SUPERFÍCIES COM MOTONIVELADORA. AF_11/2019</v>
      </c>
      <c r="D33" s="63" t="s">
        <v>78</v>
      </c>
      <c r="E33" s="63" t="s">
        <v>79</v>
      </c>
      <c r="F33" s="63"/>
      <c r="G33" s="63"/>
      <c r="H33" s="63" t="s">
        <v>82</v>
      </c>
      <c r="I33" s="116" t="s">
        <v>83</v>
      </c>
    </row>
    <row r="34" spans="2:9" x14ac:dyDescent="0.2">
      <c r="B34" s="112"/>
      <c r="C34" s="87"/>
      <c r="D34" s="88"/>
      <c r="E34" s="89"/>
      <c r="F34" s="88"/>
      <c r="G34" s="89"/>
      <c r="H34" s="88"/>
      <c r="I34" s="113"/>
    </row>
    <row r="35" spans="2:9" x14ac:dyDescent="0.2">
      <c r="B35" s="112"/>
      <c r="C35" s="87"/>
      <c r="D35" s="88">
        <v>500</v>
      </c>
      <c r="E35" s="89">
        <v>5</v>
      </c>
      <c r="F35" s="88"/>
      <c r="G35" s="89"/>
      <c r="H35" s="88">
        <f>PRODUCT(D35:G35)</f>
        <v>2500</v>
      </c>
      <c r="I35" s="113" t="s">
        <v>86</v>
      </c>
    </row>
    <row r="36" spans="2:9" x14ac:dyDescent="0.2">
      <c r="B36" s="112"/>
      <c r="C36" s="87"/>
      <c r="D36" s="88"/>
      <c r="E36" s="89"/>
      <c r="F36" s="88"/>
      <c r="G36" s="89"/>
      <c r="H36" s="88"/>
      <c r="I36" s="113"/>
    </row>
    <row r="37" spans="2:9" s="4" customFormat="1" x14ac:dyDescent="0.2">
      <c r="B37" s="114"/>
      <c r="C37" s="91"/>
      <c r="D37" s="222" t="s">
        <v>82</v>
      </c>
      <c r="E37" s="222"/>
      <c r="F37" s="222"/>
      <c r="G37" s="222"/>
      <c r="H37" s="92">
        <f>SUM(H34:H36)</f>
        <v>2500</v>
      </c>
      <c r="I37" s="115" t="str">
        <f>I35</f>
        <v>M2</v>
      </c>
    </row>
    <row r="38" spans="2:9" x14ac:dyDescent="0.2">
      <c r="B38" s="112"/>
      <c r="C38" s="87"/>
      <c r="D38" s="93"/>
      <c r="E38" s="93"/>
      <c r="F38" s="93"/>
      <c r="G38" s="93"/>
      <c r="H38" s="88"/>
      <c r="I38" s="113"/>
    </row>
    <row r="39" spans="2:9" s="4" customFormat="1" ht="63.75" x14ac:dyDescent="0.2">
      <c r="B39" s="69" t="str">
        <f>PLAN!B11</f>
        <v xml:space="preserve"> 2.2 </v>
      </c>
      <c r="C39" s="64" t="str">
        <f>PLAN!E11</f>
        <v>ASSENTAMENTO DE GUIA (MEIO-FIO) EM TRECHO RETO, CONFECCIONADA EM CONCRETO PRÉ-FABRICADO, DIMENSÕES 100X15X13X30 CM (COMPRIMENTO X BASE INFERIOR X BASE SUPERIOR X ALTURA). AF_01/2024</v>
      </c>
      <c r="D39" s="63" t="s">
        <v>78</v>
      </c>
      <c r="E39" s="63"/>
      <c r="F39" s="63" t="s">
        <v>80</v>
      </c>
      <c r="G39" s="63"/>
      <c r="H39" s="63" t="s">
        <v>82</v>
      </c>
      <c r="I39" s="116" t="s">
        <v>83</v>
      </c>
    </row>
    <row r="40" spans="2:9" x14ac:dyDescent="0.2">
      <c r="B40" s="112"/>
      <c r="C40" s="87"/>
      <c r="D40" s="88"/>
      <c r="E40" s="89"/>
      <c r="F40" s="88"/>
      <c r="G40" s="89"/>
      <c r="H40" s="88"/>
      <c r="I40" s="113"/>
    </row>
    <row r="41" spans="2:9" x14ac:dyDescent="0.2">
      <c r="B41" s="112"/>
      <c r="C41" s="87"/>
      <c r="D41" s="88">
        <v>500</v>
      </c>
      <c r="E41" s="89"/>
      <c r="F41" s="88">
        <v>2</v>
      </c>
      <c r="G41" s="89"/>
      <c r="H41" s="88">
        <f>PRODUCT(D41:G41)</f>
        <v>1000</v>
      </c>
      <c r="I41" s="113" t="s">
        <v>21</v>
      </c>
    </row>
    <row r="42" spans="2:9" x14ac:dyDescent="0.2">
      <c r="B42" s="112"/>
      <c r="C42" s="90" t="s">
        <v>94</v>
      </c>
      <c r="D42" s="88">
        <v>6</v>
      </c>
      <c r="E42" s="89"/>
      <c r="F42" s="88"/>
      <c r="G42" s="89"/>
      <c r="H42" s="88">
        <f>PRODUCT(D42:G42)</f>
        <v>6</v>
      </c>
      <c r="I42" s="113" t="s">
        <v>21</v>
      </c>
    </row>
    <row r="43" spans="2:9" x14ac:dyDescent="0.2">
      <c r="B43" s="112"/>
      <c r="C43" s="87"/>
      <c r="D43" s="88"/>
      <c r="E43" s="89"/>
      <c r="F43" s="88"/>
      <c r="G43" s="89"/>
      <c r="H43" s="88"/>
      <c r="I43" s="113"/>
    </row>
    <row r="44" spans="2:9" s="4" customFormat="1" x14ac:dyDescent="0.2">
      <c r="B44" s="114"/>
      <c r="C44" s="91"/>
      <c r="D44" s="222" t="s">
        <v>82</v>
      </c>
      <c r="E44" s="222"/>
      <c r="F44" s="222"/>
      <c r="G44" s="222"/>
      <c r="H44" s="92">
        <f>SUM(H40:H43)</f>
        <v>1006</v>
      </c>
      <c r="I44" s="115" t="str">
        <f>I41</f>
        <v>M</v>
      </c>
    </row>
    <row r="45" spans="2:9" x14ac:dyDescent="0.2">
      <c r="B45" s="112"/>
      <c r="C45" s="87"/>
      <c r="D45" s="93"/>
      <c r="E45" s="93"/>
      <c r="F45" s="93"/>
      <c r="G45" s="93"/>
      <c r="H45" s="88"/>
      <c r="I45" s="113"/>
    </row>
    <row r="46" spans="2:9" s="4" customFormat="1" ht="38.25" x14ac:dyDescent="0.2">
      <c r="B46" s="69" t="str">
        <f>PLAN!B12</f>
        <v xml:space="preserve"> 2.3 </v>
      </c>
      <c r="C46" s="64" t="str">
        <f>PLAN!E12</f>
        <v>EXECUÇÃO DE PAVIMENTO EM PARALELEPÍPEDOS, REJUNTAMENTO COM ARGAMASSA TRAÇO 1:3 (CIMENTO E AREIA). AF_05/2020</v>
      </c>
      <c r="D46" s="63" t="s">
        <v>78</v>
      </c>
      <c r="E46" s="63" t="s">
        <v>79</v>
      </c>
      <c r="F46" s="63"/>
      <c r="G46" s="63"/>
      <c r="H46" s="63" t="s">
        <v>82</v>
      </c>
      <c r="I46" s="116" t="s">
        <v>83</v>
      </c>
    </row>
    <row r="47" spans="2:9" x14ac:dyDescent="0.2">
      <c r="B47" s="112"/>
      <c r="C47" s="87"/>
      <c r="D47" s="88"/>
      <c r="E47" s="89"/>
      <c r="F47" s="88"/>
      <c r="G47" s="89"/>
      <c r="H47" s="88"/>
      <c r="I47" s="113"/>
    </row>
    <row r="48" spans="2:9" x14ac:dyDescent="0.2">
      <c r="B48" s="112"/>
      <c r="C48" s="87"/>
      <c r="D48" s="88">
        <v>500</v>
      </c>
      <c r="E48" s="89">
        <v>5</v>
      </c>
      <c r="F48" s="88"/>
      <c r="G48" s="89"/>
      <c r="H48" s="88">
        <f>PRODUCT(D48:G48)</f>
        <v>2500</v>
      </c>
      <c r="I48" s="113" t="s">
        <v>86</v>
      </c>
    </row>
    <row r="49" spans="2:9" x14ac:dyDescent="0.2">
      <c r="B49" s="112"/>
      <c r="C49" s="87"/>
      <c r="D49" s="88"/>
      <c r="E49" s="89"/>
      <c r="F49" s="88"/>
      <c r="G49" s="89"/>
      <c r="H49" s="88"/>
      <c r="I49" s="113"/>
    </row>
    <row r="50" spans="2:9" x14ac:dyDescent="0.2">
      <c r="B50" s="114"/>
      <c r="C50" s="91"/>
      <c r="D50" s="222" t="s">
        <v>82</v>
      </c>
      <c r="E50" s="222"/>
      <c r="F50" s="222"/>
      <c r="G50" s="222"/>
      <c r="H50" s="92">
        <f>SUM(H47:H49)</f>
        <v>2500</v>
      </c>
      <c r="I50" s="115" t="str">
        <f>I48</f>
        <v>M2</v>
      </c>
    </row>
    <row r="51" spans="2:9" ht="13.5" thickBot="1" x14ac:dyDescent="0.25">
      <c r="B51" s="122"/>
      <c r="C51" s="102"/>
      <c r="D51" s="103"/>
      <c r="E51" s="103"/>
      <c r="F51" s="103"/>
      <c r="G51" s="103"/>
      <c r="H51" s="104"/>
      <c r="I51" s="123"/>
    </row>
    <row r="52" spans="2:9" ht="16.5" customHeight="1" x14ac:dyDescent="0.2">
      <c r="B52" s="105" t="str">
        <f>PLAN!B13</f>
        <v xml:space="preserve"> 3 </v>
      </c>
      <c r="C52" s="106" t="str">
        <f>PLAN!E13</f>
        <v>BAIRRO MOACIR SOARES</v>
      </c>
      <c r="D52" s="106"/>
      <c r="E52" s="106"/>
      <c r="F52" s="106"/>
      <c r="G52" s="106"/>
      <c r="H52" s="106"/>
      <c r="I52" s="107"/>
    </row>
    <row r="53" spans="2:9" x14ac:dyDescent="0.2">
      <c r="B53" s="108" t="str">
        <f>PLAN!B14</f>
        <v xml:space="preserve"> 3.1 </v>
      </c>
      <c r="C53" s="101" t="str">
        <f>PLAN!E14</f>
        <v>RUA VALDEMAR JOSÉ DA SILVA</v>
      </c>
      <c r="D53" s="100"/>
      <c r="E53" s="100"/>
      <c r="F53" s="100"/>
      <c r="G53" s="100"/>
      <c r="H53" s="100"/>
      <c r="I53" s="109"/>
    </row>
    <row r="54" spans="2:9" s="4" customFormat="1" ht="25.5" x14ac:dyDescent="0.2">
      <c r="B54" s="110" t="str">
        <f>PLAN!B15</f>
        <v xml:space="preserve"> 3.1.1 </v>
      </c>
      <c r="C54" s="99" t="str">
        <f>PLAN!E15</f>
        <v>REGULARIZAÇÃO DE SUPERFÍCIES COM MOTONIVELADORA. AF_11/2019</v>
      </c>
      <c r="D54" s="98" t="s">
        <v>78</v>
      </c>
      <c r="E54" s="98" t="s">
        <v>79</v>
      </c>
      <c r="F54" s="98"/>
      <c r="G54" s="98"/>
      <c r="H54" s="98" t="s">
        <v>82</v>
      </c>
      <c r="I54" s="111" t="s">
        <v>83</v>
      </c>
    </row>
    <row r="55" spans="2:9" x14ac:dyDescent="0.2">
      <c r="B55" s="112"/>
      <c r="C55" s="87"/>
      <c r="D55" s="88"/>
      <c r="E55" s="89"/>
      <c r="F55" s="88"/>
      <c r="G55" s="89"/>
      <c r="H55" s="88"/>
      <c r="I55" s="113"/>
    </row>
    <row r="56" spans="2:9" x14ac:dyDescent="0.2">
      <c r="B56" s="112"/>
      <c r="C56" s="87"/>
      <c r="D56" s="88">
        <v>140</v>
      </c>
      <c r="E56" s="89">
        <v>6</v>
      </c>
      <c r="F56" s="88"/>
      <c r="G56" s="89"/>
      <c r="H56" s="88">
        <f>PRODUCT(D56:G56)</f>
        <v>840</v>
      </c>
      <c r="I56" s="113" t="s">
        <v>86</v>
      </c>
    </row>
    <row r="57" spans="2:9" x14ac:dyDescent="0.2">
      <c r="B57" s="112"/>
      <c r="C57" s="87"/>
      <c r="D57" s="88"/>
      <c r="E57" s="89"/>
      <c r="F57" s="88"/>
      <c r="G57" s="89"/>
      <c r="H57" s="88"/>
      <c r="I57" s="113"/>
    </row>
    <row r="58" spans="2:9" x14ac:dyDescent="0.2">
      <c r="B58" s="114"/>
      <c r="C58" s="91"/>
      <c r="D58" s="222" t="s">
        <v>82</v>
      </c>
      <c r="E58" s="222"/>
      <c r="F58" s="222"/>
      <c r="G58" s="222"/>
      <c r="H58" s="92">
        <f>SUM(H55:H57)</f>
        <v>840</v>
      </c>
      <c r="I58" s="115" t="str">
        <f>I56</f>
        <v>M2</v>
      </c>
    </row>
    <row r="59" spans="2:9" x14ac:dyDescent="0.2">
      <c r="B59" s="112"/>
      <c r="C59" s="87"/>
      <c r="D59" s="93"/>
      <c r="E59" s="93"/>
      <c r="F59" s="93"/>
      <c r="G59" s="93"/>
      <c r="H59" s="88"/>
      <c r="I59" s="113"/>
    </row>
    <row r="60" spans="2:9" s="4" customFormat="1" ht="63.75" x14ac:dyDescent="0.2">
      <c r="B60" s="69" t="str">
        <f>PLAN!B16</f>
        <v xml:space="preserve"> 3.1.2 </v>
      </c>
      <c r="C60" s="64" t="str">
        <f>PLAN!E16</f>
        <v>ASSENTAMENTO DE GUIA (MEIO-FIO) EM TRECHO RETO, CONFECCIONADA EM CONCRETO PRÉ-FABRICADO, DIMENSÕES 100X15X13X30 CM (COMPRIMENTO X BASE INFERIOR X BASE SUPERIOR X ALTURA). AF_01/2024</v>
      </c>
      <c r="D60" s="63" t="s">
        <v>78</v>
      </c>
      <c r="E60" s="63"/>
      <c r="F60" s="63" t="s">
        <v>80</v>
      </c>
      <c r="G60" s="63"/>
      <c r="H60" s="63" t="s">
        <v>82</v>
      </c>
      <c r="I60" s="116" t="s">
        <v>83</v>
      </c>
    </row>
    <row r="61" spans="2:9" x14ac:dyDescent="0.2">
      <c r="B61" s="112"/>
      <c r="C61" s="87"/>
      <c r="D61" s="88"/>
      <c r="E61" s="89"/>
      <c r="F61" s="88"/>
      <c r="G61" s="89"/>
      <c r="H61" s="88"/>
      <c r="I61" s="113"/>
    </row>
    <row r="62" spans="2:9" x14ac:dyDescent="0.2">
      <c r="B62" s="112"/>
      <c r="C62" s="87"/>
      <c r="D62" s="88">
        <v>140</v>
      </c>
      <c r="E62" s="89"/>
      <c r="F62" s="88">
        <v>2</v>
      </c>
      <c r="G62" s="89"/>
      <c r="H62" s="88">
        <f>PRODUCT(D62:G62)</f>
        <v>280</v>
      </c>
      <c r="I62" s="113" t="s">
        <v>21</v>
      </c>
    </row>
    <row r="63" spans="2:9" x14ac:dyDescent="0.2">
      <c r="B63" s="112"/>
      <c r="C63" s="87"/>
      <c r="D63" s="88"/>
      <c r="E63" s="89"/>
      <c r="F63" s="88"/>
      <c r="G63" s="89"/>
      <c r="H63" s="88"/>
      <c r="I63" s="113"/>
    </row>
    <row r="64" spans="2:9" x14ac:dyDescent="0.2">
      <c r="B64" s="114"/>
      <c r="C64" s="91"/>
      <c r="D64" s="222" t="s">
        <v>82</v>
      </c>
      <c r="E64" s="222"/>
      <c r="F64" s="222"/>
      <c r="G64" s="222"/>
      <c r="H64" s="92">
        <f>SUM(H61:H63)</f>
        <v>280</v>
      </c>
      <c r="I64" s="115" t="str">
        <f>I62</f>
        <v>M</v>
      </c>
    </row>
    <row r="65" spans="2:9" x14ac:dyDescent="0.2">
      <c r="B65" s="112"/>
      <c r="C65" s="87"/>
      <c r="D65" s="93"/>
      <c r="E65" s="93"/>
      <c r="F65" s="93"/>
      <c r="G65" s="93"/>
      <c r="H65" s="88"/>
      <c r="I65" s="113"/>
    </row>
    <row r="66" spans="2:9" s="4" customFormat="1" ht="38.25" x14ac:dyDescent="0.2">
      <c r="B66" s="69" t="str">
        <f>PLAN!B17</f>
        <v xml:space="preserve"> 3.1.3 </v>
      </c>
      <c r="C66" s="64" t="str">
        <f>PLAN!E17</f>
        <v>EXECUÇÃO DE PAVIMENTO EM PARALELEPÍPEDOS, REJUNTAMENTO COM ARGAMASSA TRAÇO 1:3 (CIMENTO E AREIA). AF_05/2020</v>
      </c>
      <c r="D66" s="63" t="s">
        <v>78</v>
      </c>
      <c r="E66" s="63" t="s">
        <v>79</v>
      </c>
      <c r="F66" s="63"/>
      <c r="G66" s="63"/>
      <c r="H66" s="63" t="s">
        <v>82</v>
      </c>
      <c r="I66" s="116" t="s">
        <v>83</v>
      </c>
    </row>
    <row r="67" spans="2:9" x14ac:dyDescent="0.2">
      <c r="B67" s="112"/>
      <c r="C67" s="87"/>
      <c r="D67" s="88"/>
      <c r="E67" s="89"/>
      <c r="F67" s="88"/>
      <c r="G67" s="89"/>
      <c r="H67" s="88"/>
      <c r="I67" s="113"/>
    </row>
    <row r="68" spans="2:9" x14ac:dyDescent="0.2">
      <c r="B68" s="112"/>
      <c r="C68" s="87"/>
      <c r="D68" s="88">
        <v>140</v>
      </c>
      <c r="E68" s="89">
        <v>6</v>
      </c>
      <c r="F68" s="88"/>
      <c r="G68" s="89"/>
      <c r="H68" s="88">
        <f>PRODUCT(D68:G68)</f>
        <v>840</v>
      </c>
      <c r="I68" s="113" t="s">
        <v>86</v>
      </c>
    </row>
    <row r="69" spans="2:9" x14ac:dyDescent="0.2">
      <c r="B69" s="112"/>
      <c r="C69" s="87"/>
      <c r="D69" s="88"/>
      <c r="E69" s="89"/>
      <c r="F69" s="88"/>
      <c r="G69" s="89"/>
      <c r="H69" s="88"/>
      <c r="I69" s="113"/>
    </row>
    <row r="70" spans="2:9" x14ac:dyDescent="0.2">
      <c r="B70" s="114"/>
      <c r="C70" s="91"/>
      <c r="D70" s="222" t="s">
        <v>82</v>
      </c>
      <c r="E70" s="222"/>
      <c r="F70" s="222"/>
      <c r="G70" s="222"/>
      <c r="H70" s="92">
        <f>SUM(H67:H69)</f>
        <v>840</v>
      </c>
      <c r="I70" s="115" t="str">
        <f>I68</f>
        <v>M2</v>
      </c>
    </row>
    <row r="71" spans="2:9" x14ac:dyDescent="0.2">
      <c r="B71" s="112"/>
      <c r="C71" s="87"/>
      <c r="D71" s="93"/>
      <c r="E71" s="93"/>
      <c r="F71" s="93"/>
      <c r="G71" s="93"/>
      <c r="H71" s="88"/>
      <c r="I71" s="113"/>
    </row>
    <row r="72" spans="2:9" s="4" customFormat="1" ht="25.5" x14ac:dyDescent="0.2">
      <c r="B72" s="69" t="str">
        <f>PLAN!B18</f>
        <v xml:space="preserve"> 3.1.4 </v>
      </c>
      <c r="C72" s="64" t="str">
        <f>PLAN!E18</f>
        <v>PLACA ESMALTADA PARA IDENTIFICAÇÃO NR DE RUA, DIMENSÕES 45X25CM - (SINAPI 01/2020)</v>
      </c>
      <c r="D72" s="63" t="s">
        <v>95</v>
      </c>
      <c r="E72" s="63"/>
      <c r="F72" s="63"/>
      <c r="G72" s="63"/>
      <c r="H72" s="63" t="s">
        <v>82</v>
      </c>
      <c r="I72" s="116" t="s">
        <v>83</v>
      </c>
    </row>
    <row r="73" spans="2:9" x14ac:dyDescent="0.2">
      <c r="B73" s="112"/>
      <c r="C73" s="87"/>
      <c r="D73" s="88"/>
      <c r="E73" s="89"/>
      <c r="F73" s="88"/>
      <c r="G73" s="89"/>
      <c r="H73" s="88"/>
      <c r="I73" s="113"/>
    </row>
    <row r="74" spans="2:9" x14ac:dyDescent="0.2">
      <c r="B74" s="112"/>
      <c r="C74" s="87"/>
      <c r="D74" s="88">
        <v>2</v>
      </c>
      <c r="E74" s="89"/>
      <c r="F74" s="88"/>
      <c r="G74" s="89"/>
      <c r="H74" s="88">
        <f>PRODUCT(D74:G74)</f>
        <v>2</v>
      </c>
      <c r="I74" s="113" t="s">
        <v>12</v>
      </c>
    </row>
    <row r="75" spans="2:9" x14ac:dyDescent="0.2">
      <c r="B75" s="112"/>
      <c r="C75" s="87"/>
      <c r="D75" s="88"/>
      <c r="E75" s="89"/>
      <c r="F75" s="88"/>
      <c r="G75" s="89"/>
      <c r="H75" s="88"/>
      <c r="I75" s="113"/>
    </row>
    <row r="76" spans="2:9" x14ac:dyDescent="0.2">
      <c r="B76" s="114"/>
      <c r="C76" s="91"/>
      <c r="D76" s="222" t="s">
        <v>82</v>
      </c>
      <c r="E76" s="222"/>
      <c r="F76" s="222"/>
      <c r="G76" s="222"/>
      <c r="H76" s="92">
        <f>SUM(H73:H75)</f>
        <v>2</v>
      </c>
      <c r="I76" s="115" t="str">
        <f>I74</f>
        <v>UN</v>
      </c>
    </row>
    <row r="77" spans="2:9" ht="13.5" thickBot="1" x14ac:dyDescent="0.25">
      <c r="B77" s="112"/>
      <c r="C77" s="87"/>
      <c r="D77" s="93"/>
      <c r="E77" s="93"/>
      <c r="F77" s="93"/>
      <c r="G77" s="93"/>
      <c r="H77" s="88"/>
      <c r="I77" s="113"/>
    </row>
    <row r="78" spans="2:9" ht="16.5" customHeight="1" x14ac:dyDescent="0.2">
      <c r="B78" s="105" t="str">
        <f>PLAN!B19</f>
        <v xml:space="preserve"> 4 </v>
      </c>
      <c r="C78" s="106" t="str">
        <f>PLAN!E19</f>
        <v>BAIRRO SANTO ANTONIO</v>
      </c>
      <c r="D78" s="106"/>
      <c r="E78" s="106"/>
      <c r="F78" s="106"/>
      <c r="G78" s="106"/>
      <c r="H78" s="106"/>
      <c r="I78" s="107"/>
    </row>
    <row r="79" spans="2:9" x14ac:dyDescent="0.2">
      <c r="B79" s="108" t="str">
        <f>PLAN!B20</f>
        <v xml:space="preserve"> 4.1 </v>
      </c>
      <c r="C79" s="101" t="str">
        <f>PLAN!E20</f>
        <v>RUA DJANIRA PINHEIRO DE OLIVEIRA</v>
      </c>
      <c r="D79" s="100"/>
      <c r="E79" s="100"/>
      <c r="F79" s="100"/>
      <c r="G79" s="100"/>
      <c r="H79" s="100"/>
      <c r="I79" s="109"/>
    </row>
    <row r="80" spans="2:9" s="4" customFormat="1" ht="25.5" x14ac:dyDescent="0.2">
      <c r="B80" s="69" t="str">
        <f>PLAN!B21</f>
        <v xml:space="preserve"> 4.1.1 </v>
      </c>
      <c r="C80" s="64" t="str">
        <f>PLAN!E21</f>
        <v>REGULARIZAÇÃO DE SUPERFÍCIES COM MOTONIVELADORA. AF_11/2019</v>
      </c>
      <c r="D80" s="63" t="s">
        <v>78</v>
      </c>
      <c r="E80" s="63" t="s">
        <v>79</v>
      </c>
      <c r="F80" s="63"/>
      <c r="G80" s="63"/>
      <c r="H80" s="63" t="s">
        <v>82</v>
      </c>
      <c r="I80" s="116" t="s">
        <v>83</v>
      </c>
    </row>
    <row r="81" spans="2:9" x14ac:dyDescent="0.2">
      <c r="B81" s="112"/>
      <c r="C81" s="87"/>
      <c r="D81" s="88"/>
      <c r="E81" s="89"/>
      <c r="F81" s="88"/>
      <c r="G81" s="89"/>
      <c r="H81" s="88"/>
      <c r="I81" s="113"/>
    </row>
    <row r="82" spans="2:9" x14ac:dyDescent="0.2">
      <c r="B82" s="112"/>
      <c r="C82" s="87"/>
      <c r="D82" s="88">
        <v>420</v>
      </c>
      <c r="E82" s="89">
        <v>6</v>
      </c>
      <c r="F82" s="88"/>
      <c r="G82" s="89"/>
      <c r="H82" s="88">
        <f>PRODUCT(D82:G82)</f>
        <v>2520</v>
      </c>
      <c r="I82" s="113" t="s">
        <v>86</v>
      </c>
    </row>
    <row r="83" spans="2:9" x14ac:dyDescent="0.2">
      <c r="B83" s="112"/>
      <c r="C83" s="87"/>
      <c r="D83" s="88"/>
      <c r="E83" s="89"/>
      <c r="F83" s="88"/>
      <c r="G83" s="89"/>
      <c r="H83" s="88"/>
      <c r="I83" s="113"/>
    </row>
    <row r="84" spans="2:9" x14ac:dyDescent="0.2">
      <c r="B84" s="114"/>
      <c r="C84" s="91"/>
      <c r="D84" s="222" t="s">
        <v>82</v>
      </c>
      <c r="E84" s="222"/>
      <c r="F84" s="222"/>
      <c r="G84" s="222"/>
      <c r="H84" s="92">
        <f>SUM(H81:H83)</f>
        <v>2520</v>
      </c>
      <c r="I84" s="115" t="str">
        <f>I82</f>
        <v>M2</v>
      </c>
    </row>
    <row r="85" spans="2:9" x14ac:dyDescent="0.2">
      <c r="B85" s="112"/>
      <c r="C85" s="87"/>
      <c r="D85" s="93"/>
      <c r="E85" s="93"/>
      <c r="F85" s="93"/>
      <c r="G85" s="93"/>
      <c r="H85" s="88"/>
      <c r="I85" s="113"/>
    </row>
    <row r="86" spans="2:9" s="4" customFormat="1" ht="63.75" x14ac:dyDescent="0.2">
      <c r="B86" s="69" t="str">
        <f>PLAN!B22</f>
        <v xml:space="preserve"> 4.1.2 </v>
      </c>
      <c r="C86" s="64" t="str">
        <f>PLAN!E22</f>
        <v>ASSENTAMENTO DE GUIA (MEIO-FIO) EM TRECHO RETO, CONFECCIONADA EM CONCRETO PRÉ-FABRICADO, DIMENSÕES 100X15X13X30 CM (COMPRIMENTO X BASE INFERIOR X BASE SUPERIOR X ALTURA). AF_01/2024</v>
      </c>
      <c r="D86" s="63" t="s">
        <v>78</v>
      </c>
      <c r="E86" s="63"/>
      <c r="F86" s="63" t="s">
        <v>80</v>
      </c>
      <c r="G86" s="63" t="s">
        <v>81</v>
      </c>
      <c r="H86" s="63" t="s">
        <v>82</v>
      </c>
      <c r="I86" s="116" t="s">
        <v>83</v>
      </c>
    </row>
    <row r="87" spans="2:9" x14ac:dyDescent="0.2">
      <c r="B87" s="112"/>
      <c r="C87" s="87"/>
      <c r="D87" s="88"/>
      <c r="E87" s="89"/>
      <c r="F87" s="88"/>
      <c r="G87" s="89"/>
      <c r="H87" s="88"/>
      <c r="I87" s="113"/>
    </row>
    <row r="88" spans="2:9" x14ac:dyDescent="0.2">
      <c r="B88" s="112"/>
      <c r="C88" s="87"/>
      <c r="D88" s="88">
        <v>420</v>
      </c>
      <c r="E88" s="89"/>
      <c r="F88" s="88">
        <v>2</v>
      </c>
      <c r="G88" s="89"/>
      <c r="H88" s="88">
        <f>PRODUCT(D88:G88)</f>
        <v>840</v>
      </c>
      <c r="I88" s="113" t="s">
        <v>21</v>
      </c>
    </row>
    <row r="89" spans="2:9" x14ac:dyDescent="0.2">
      <c r="B89" s="112"/>
      <c r="C89" s="90" t="s">
        <v>96</v>
      </c>
      <c r="D89" s="88">
        <v>6</v>
      </c>
      <c r="E89" s="89"/>
      <c r="F89" s="88">
        <v>6</v>
      </c>
      <c r="G89" s="89">
        <v>-1</v>
      </c>
      <c r="H89" s="88">
        <f>PRODUCT(D89:G89)</f>
        <v>-36</v>
      </c>
      <c r="I89" s="113" t="s">
        <v>21</v>
      </c>
    </row>
    <row r="90" spans="2:9" x14ac:dyDescent="0.2">
      <c r="B90" s="112"/>
      <c r="C90" s="90" t="s">
        <v>94</v>
      </c>
      <c r="D90" s="88">
        <v>6</v>
      </c>
      <c r="E90" s="89"/>
      <c r="F90" s="88">
        <v>2</v>
      </c>
      <c r="G90" s="89"/>
      <c r="H90" s="88">
        <f>PRODUCT(D90:G90)</f>
        <v>12</v>
      </c>
      <c r="I90" s="113" t="s">
        <v>21</v>
      </c>
    </row>
    <row r="91" spans="2:9" x14ac:dyDescent="0.2">
      <c r="B91" s="112"/>
      <c r="C91" s="87"/>
      <c r="D91" s="88"/>
      <c r="E91" s="89"/>
      <c r="F91" s="88"/>
      <c r="G91" s="89"/>
      <c r="H91" s="88"/>
      <c r="I91" s="113"/>
    </row>
    <row r="92" spans="2:9" x14ac:dyDescent="0.2">
      <c r="B92" s="114"/>
      <c r="C92" s="91"/>
      <c r="D92" s="222" t="s">
        <v>82</v>
      </c>
      <c r="E92" s="222"/>
      <c r="F92" s="222"/>
      <c r="G92" s="222"/>
      <c r="H92" s="92">
        <f>SUM(H87:H91)</f>
        <v>816</v>
      </c>
      <c r="I92" s="115" t="str">
        <f>I88</f>
        <v>M</v>
      </c>
    </row>
    <row r="93" spans="2:9" x14ac:dyDescent="0.2">
      <c r="B93" s="112"/>
      <c r="C93" s="87"/>
      <c r="D93" s="93"/>
      <c r="E93" s="93"/>
      <c r="F93" s="93"/>
      <c r="G93" s="93"/>
      <c r="H93" s="88"/>
      <c r="I93" s="113"/>
    </row>
    <row r="94" spans="2:9" s="4" customFormat="1" ht="38.25" x14ac:dyDescent="0.2">
      <c r="B94" s="69" t="str">
        <f>PLAN!B23</f>
        <v xml:space="preserve"> 4.1.3 </v>
      </c>
      <c r="C94" s="64" t="str">
        <f>PLAN!E23</f>
        <v>EXECUÇÃO DE PAVIMENTO EM PARALELEPÍPEDOS, REJUNTAMENTO COM ARGAMASSA TRAÇO 1:3 (CIMENTO E AREIA). AF_05/2020</v>
      </c>
      <c r="D94" s="63" t="s">
        <v>78</v>
      </c>
      <c r="E94" s="63" t="s">
        <v>79</v>
      </c>
      <c r="F94" s="63"/>
      <c r="G94" s="63"/>
      <c r="H94" s="63" t="s">
        <v>82</v>
      </c>
      <c r="I94" s="116" t="s">
        <v>83</v>
      </c>
    </row>
    <row r="95" spans="2:9" x14ac:dyDescent="0.2">
      <c r="B95" s="112"/>
      <c r="C95" s="87"/>
      <c r="D95" s="88"/>
      <c r="E95" s="89"/>
      <c r="F95" s="88"/>
      <c r="G95" s="89"/>
      <c r="H95" s="88"/>
      <c r="I95" s="113"/>
    </row>
    <row r="96" spans="2:9" x14ac:dyDescent="0.2">
      <c r="B96" s="112"/>
      <c r="C96" s="87"/>
      <c r="D96" s="88">
        <v>420</v>
      </c>
      <c r="E96" s="89">
        <v>6</v>
      </c>
      <c r="F96" s="88"/>
      <c r="G96" s="89"/>
      <c r="H96" s="88">
        <f>PRODUCT(D96:G96)</f>
        <v>2520</v>
      </c>
      <c r="I96" s="113" t="s">
        <v>86</v>
      </c>
    </row>
    <row r="97" spans="2:9" x14ac:dyDescent="0.2">
      <c r="B97" s="112"/>
      <c r="C97" s="87"/>
      <c r="D97" s="88"/>
      <c r="E97" s="89"/>
      <c r="F97" s="88"/>
      <c r="G97" s="89"/>
      <c r="H97" s="88"/>
      <c r="I97" s="113"/>
    </row>
    <row r="98" spans="2:9" x14ac:dyDescent="0.2">
      <c r="B98" s="114"/>
      <c r="C98" s="91"/>
      <c r="D98" s="222" t="s">
        <v>82</v>
      </c>
      <c r="E98" s="222"/>
      <c r="F98" s="222"/>
      <c r="G98" s="222"/>
      <c r="H98" s="92">
        <f>SUM(H95:H97)</f>
        <v>2520</v>
      </c>
      <c r="I98" s="115" t="str">
        <f>I96</f>
        <v>M2</v>
      </c>
    </row>
    <row r="99" spans="2:9" x14ac:dyDescent="0.2">
      <c r="B99" s="112"/>
      <c r="C99" s="87"/>
      <c r="D99" s="93"/>
      <c r="E99" s="93"/>
      <c r="F99" s="93"/>
      <c r="G99" s="93"/>
      <c r="H99" s="88"/>
      <c r="I99" s="113"/>
    </row>
    <row r="100" spans="2:9" s="4" customFormat="1" ht="25.5" x14ac:dyDescent="0.2">
      <c r="B100" s="69" t="str">
        <f>PLAN!B24</f>
        <v xml:space="preserve"> 4.1.4 </v>
      </c>
      <c r="C100" s="64" t="str">
        <f>PLAN!E24</f>
        <v>PLACA ESMALTADA PARA IDENTIFICAÇÃO NR DE RUA, DIMENSÕES 45X25CM - (SINAPI 01/2020)</v>
      </c>
      <c r="D100" s="63" t="s">
        <v>95</v>
      </c>
      <c r="E100" s="63"/>
      <c r="F100" s="63"/>
      <c r="G100" s="63"/>
      <c r="H100" s="63" t="s">
        <v>82</v>
      </c>
      <c r="I100" s="116" t="s">
        <v>83</v>
      </c>
    </row>
    <row r="101" spans="2:9" x14ac:dyDescent="0.2">
      <c r="B101" s="112"/>
      <c r="C101" s="87"/>
      <c r="D101" s="88"/>
      <c r="E101" s="89"/>
      <c r="F101" s="88"/>
      <c r="G101" s="89"/>
      <c r="H101" s="88"/>
      <c r="I101" s="113"/>
    </row>
    <row r="102" spans="2:9" x14ac:dyDescent="0.2">
      <c r="B102" s="112"/>
      <c r="C102" s="87"/>
      <c r="D102" s="88">
        <v>2</v>
      </c>
      <c r="E102" s="89"/>
      <c r="F102" s="88"/>
      <c r="G102" s="89"/>
      <c r="H102" s="88">
        <f>PRODUCT(D102:G102)</f>
        <v>2</v>
      </c>
      <c r="I102" s="113" t="s">
        <v>12</v>
      </c>
    </row>
    <row r="103" spans="2:9" x14ac:dyDescent="0.2">
      <c r="B103" s="112"/>
      <c r="C103" s="87"/>
      <c r="D103" s="88"/>
      <c r="E103" s="89"/>
      <c r="F103" s="88"/>
      <c r="G103" s="89"/>
      <c r="H103" s="88"/>
      <c r="I103" s="113"/>
    </row>
    <row r="104" spans="2:9" x14ac:dyDescent="0.2">
      <c r="B104" s="114"/>
      <c r="C104" s="91"/>
      <c r="D104" s="222" t="s">
        <v>82</v>
      </c>
      <c r="E104" s="222"/>
      <c r="F104" s="222"/>
      <c r="G104" s="222"/>
      <c r="H104" s="92">
        <f>SUM(H101:H103)</f>
        <v>2</v>
      </c>
      <c r="I104" s="115" t="str">
        <f>I102</f>
        <v>UN</v>
      </c>
    </row>
    <row r="105" spans="2:9" x14ac:dyDescent="0.2">
      <c r="B105" s="112"/>
      <c r="C105" s="87"/>
      <c r="D105" s="93"/>
      <c r="E105" s="93"/>
      <c r="F105" s="93"/>
      <c r="G105" s="93"/>
      <c r="H105" s="88"/>
      <c r="I105" s="113"/>
    </row>
    <row r="106" spans="2:9" x14ac:dyDescent="0.2">
      <c r="B106" s="108" t="str">
        <f>PLAN!B25</f>
        <v xml:space="preserve"> 4.2 </v>
      </c>
      <c r="C106" s="101" t="str">
        <f>PLAN!E25</f>
        <v>RUA FLORENTINO FRANCISCO DE AMORIM</v>
      </c>
      <c r="D106" s="100"/>
      <c r="E106" s="100"/>
      <c r="F106" s="100"/>
      <c r="G106" s="100"/>
      <c r="H106" s="100"/>
      <c r="I106" s="109"/>
    </row>
    <row r="107" spans="2:9" s="4" customFormat="1" ht="25.5" x14ac:dyDescent="0.2">
      <c r="B107" s="69" t="str">
        <f>PLAN!B26</f>
        <v xml:space="preserve"> 4.2.1 </v>
      </c>
      <c r="C107" s="64" t="str">
        <f>PLAN!E26</f>
        <v>REGULARIZAÇÃO DE SUPERFÍCIES COM MOTONIVELADORA. AF_11/2019</v>
      </c>
      <c r="D107" s="63" t="s">
        <v>78</v>
      </c>
      <c r="E107" s="63" t="s">
        <v>79</v>
      </c>
      <c r="F107" s="63"/>
      <c r="G107" s="63"/>
      <c r="H107" s="63" t="s">
        <v>82</v>
      </c>
      <c r="I107" s="116" t="s">
        <v>83</v>
      </c>
    </row>
    <row r="108" spans="2:9" x14ac:dyDescent="0.2">
      <c r="B108" s="112"/>
      <c r="C108" s="87"/>
      <c r="D108" s="88"/>
      <c r="E108" s="89"/>
      <c r="F108" s="88"/>
      <c r="G108" s="89"/>
      <c r="H108" s="88"/>
      <c r="I108" s="113"/>
    </row>
    <row r="109" spans="2:9" x14ac:dyDescent="0.2">
      <c r="B109" s="112"/>
      <c r="C109" s="87"/>
      <c r="D109" s="88">
        <v>420</v>
      </c>
      <c r="E109" s="89">
        <v>6</v>
      </c>
      <c r="F109" s="88"/>
      <c r="G109" s="89"/>
      <c r="H109" s="88">
        <f>PRODUCT(D109:G109)</f>
        <v>2520</v>
      </c>
      <c r="I109" s="113" t="s">
        <v>86</v>
      </c>
    </row>
    <row r="110" spans="2:9" x14ac:dyDescent="0.2">
      <c r="B110" s="112"/>
      <c r="C110" s="87"/>
      <c r="D110" s="88"/>
      <c r="E110" s="89"/>
      <c r="F110" s="88"/>
      <c r="G110" s="89"/>
      <c r="H110" s="88"/>
      <c r="I110" s="113"/>
    </row>
    <row r="111" spans="2:9" x14ac:dyDescent="0.2">
      <c r="B111" s="114"/>
      <c r="C111" s="91"/>
      <c r="D111" s="222" t="s">
        <v>82</v>
      </c>
      <c r="E111" s="222"/>
      <c r="F111" s="222"/>
      <c r="G111" s="222"/>
      <c r="H111" s="92">
        <f>SUM(H108:H110)</f>
        <v>2520</v>
      </c>
      <c r="I111" s="115" t="str">
        <f>I109</f>
        <v>M2</v>
      </c>
    </row>
    <row r="112" spans="2:9" x14ac:dyDescent="0.2">
      <c r="B112" s="112"/>
      <c r="C112" s="87"/>
      <c r="D112" s="93"/>
      <c r="E112" s="93"/>
      <c r="F112" s="93"/>
      <c r="G112" s="93"/>
      <c r="H112" s="88"/>
      <c r="I112" s="113"/>
    </row>
    <row r="113" spans="2:9" s="4" customFormat="1" ht="63.75" x14ac:dyDescent="0.2">
      <c r="B113" s="69" t="str">
        <f>PLAN!B27</f>
        <v xml:space="preserve"> 4.2.2 </v>
      </c>
      <c r="C113" s="64" t="str">
        <f>PLAN!E27</f>
        <v>ASSENTAMENTO DE GUIA (MEIO-FIO) EM TRECHO RETO, CONFECCIONADA EM CONCRETO PRÉ-FABRICADO, DIMENSÕES 100X15X13X30 CM (COMPRIMENTO X BASE INFERIOR X BASE SUPERIOR X ALTURA). AF_01/2024</v>
      </c>
      <c r="D113" s="63" t="s">
        <v>78</v>
      </c>
      <c r="E113" s="63"/>
      <c r="F113" s="63" t="s">
        <v>80</v>
      </c>
      <c r="G113" s="63" t="s">
        <v>81</v>
      </c>
      <c r="H113" s="63" t="s">
        <v>82</v>
      </c>
      <c r="I113" s="116" t="s">
        <v>83</v>
      </c>
    </row>
    <row r="114" spans="2:9" x14ac:dyDescent="0.2">
      <c r="B114" s="112"/>
      <c r="C114" s="87"/>
      <c r="D114" s="88"/>
      <c r="E114" s="89"/>
      <c r="F114" s="88"/>
      <c r="G114" s="89"/>
      <c r="H114" s="88"/>
      <c r="I114" s="113"/>
    </row>
    <row r="115" spans="2:9" x14ac:dyDescent="0.2">
      <c r="B115" s="112"/>
      <c r="C115" s="87"/>
      <c r="D115" s="88">
        <v>420</v>
      </c>
      <c r="E115" s="89"/>
      <c r="F115" s="88">
        <v>2</v>
      </c>
      <c r="G115" s="89"/>
      <c r="H115" s="88">
        <f>PRODUCT(D115:G115)</f>
        <v>840</v>
      </c>
      <c r="I115" s="113" t="s">
        <v>21</v>
      </c>
    </row>
    <row r="116" spans="2:9" x14ac:dyDescent="0.2">
      <c r="B116" s="112"/>
      <c r="C116" s="90" t="s">
        <v>96</v>
      </c>
      <c r="D116" s="88">
        <v>6</v>
      </c>
      <c r="E116" s="89"/>
      <c r="F116" s="88">
        <v>3</v>
      </c>
      <c r="G116" s="89">
        <v>-1</v>
      </c>
      <c r="H116" s="88">
        <f>PRODUCT(D116:G116)</f>
        <v>-18</v>
      </c>
      <c r="I116" s="113" t="s">
        <v>21</v>
      </c>
    </row>
    <row r="117" spans="2:9" x14ac:dyDescent="0.2">
      <c r="B117" s="112"/>
      <c r="C117" s="90" t="s">
        <v>94</v>
      </c>
      <c r="D117" s="88">
        <v>6</v>
      </c>
      <c r="E117" s="89"/>
      <c r="F117" s="88">
        <v>2</v>
      </c>
      <c r="G117" s="89"/>
      <c r="H117" s="88">
        <f>PRODUCT(D117:G117)</f>
        <v>12</v>
      </c>
      <c r="I117" s="113" t="s">
        <v>21</v>
      </c>
    </row>
    <row r="118" spans="2:9" x14ac:dyDescent="0.2">
      <c r="B118" s="112"/>
      <c r="C118" s="87"/>
      <c r="D118" s="88"/>
      <c r="E118" s="89"/>
      <c r="F118" s="88"/>
      <c r="G118" s="89"/>
      <c r="H118" s="88"/>
      <c r="I118" s="113"/>
    </row>
    <row r="119" spans="2:9" x14ac:dyDescent="0.2">
      <c r="B119" s="114"/>
      <c r="C119" s="91"/>
      <c r="D119" s="222" t="s">
        <v>82</v>
      </c>
      <c r="E119" s="222"/>
      <c r="F119" s="222"/>
      <c r="G119" s="222"/>
      <c r="H119" s="92">
        <f>SUM(H114:H118)</f>
        <v>834</v>
      </c>
      <c r="I119" s="115" t="str">
        <f>I115</f>
        <v>M</v>
      </c>
    </row>
    <row r="120" spans="2:9" x14ac:dyDescent="0.2">
      <c r="B120" s="112"/>
      <c r="C120" s="87"/>
      <c r="D120" s="93"/>
      <c r="E120" s="93"/>
      <c r="F120" s="93"/>
      <c r="G120" s="93"/>
      <c r="H120" s="88"/>
      <c r="I120" s="113"/>
    </row>
    <row r="121" spans="2:9" s="4" customFormat="1" ht="38.25" x14ac:dyDescent="0.2">
      <c r="B121" s="69" t="str">
        <f>PLAN!B28</f>
        <v xml:space="preserve"> 4.2.3 </v>
      </c>
      <c r="C121" s="64" t="str">
        <f>PLAN!E28</f>
        <v>EXECUÇÃO DE PAVIMENTO EM PARALELEPÍPEDOS, REJUNTAMENTO COM ARGAMASSA TRAÇO 1:3 (CIMENTO E AREIA). AF_05/2020</v>
      </c>
      <c r="D121" s="63" t="s">
        <v>78</v>
      </c>
      <c r="E121" s="63" t="s">
        <v>79</v>
      </c>
      <c r="F121" s="63"/>
      <c r="G121" s="63"/>
      <c r="H121" s="63" t="s">
        <v>82</v>
      </c>
      <c r="I121" s="116" t="s">
        <v>83</v>
      </c>
    </row>
    <row r="122" spans="2:9" x14ac:dyDescent="0.2">
      <c r="B122" s="112"/>
      <c r="C122" s="87"/>
      <c r="D122" s="88"/>
      <c r="E122" s="89"/>
      <c r="F122" s="88"/>
      <c r="G122" s="89"/>
      <c r="H122" s="88"/>
      <c r="I122" s="113"/>
    </row>
    <row r="123" spans="2:9" x14ac:dyDescent="0.2">
      <c r="B123" s="112"/>
      <c r="C123" s="87"/>
      <c r="D123" s="88">
        <v>420</v>
      </c>
      <c r="E123" s="89">
        <v>6</v>
      </c>
      <c r="F123" s="88"/>
      <c r="G123" s="89"/>
      <c r="H123" s="88">
        <f>PRODUCT(D123:G123)</f>
        <v>2520</v>
      </c>
      <c r="I123" s="113" t="s">
        <v>86</v>
      </c>
    </row>
    <row r="124" spans="2:9" x14ac:dyDescent="0.2">
      <c r="B124" s="112"/>
      <c r="C124" s="87"/>
      <c r="D124" s="88"/>
      <c r="E124" s="89"/>
      <c r="F124" s="88"/>
      <c r="G124" s="89"/>
      <c r="H124" s="88"/>
      <c r="I124" s="113"/>
    </row>
    <row r="125" spans="2:9" x14ac:dyDescent="0.2">
      <c r="B125" s="114"/>
      <c r="C125" s="91"/>
      <c r="D125" s="222" t="s">
        <v>82</v>
      </c>
      <c r="E125" s="222"/>
      <c r="F125" s="222"/>
      <c r="G125" s="222"/>
      <c r="H125" s="92">
        <f>SUM(H122:H124)</f>
        <v>2520</v>
      </c>
      <c r="I125" s="115" t="str">
        <f>I123</f>
        <v>M2</v>
      </c>
    </row>
    <row r="126" spans="2:9" x14ac:dyDescent="0.2">
      <c r="B126" s="112"/>
      <c r="C126" s="87"/>
      <c r="D126" s="88"/>
      <c r="E126" s="89"/>
      <c r="F126" s="88"/>
      <c r="G126" s="89"/>
      <c r="H126" s="88"/>
      <c r="I126" s="113"/>
    </row>
    <row r="127" spans="2:9" s="4" customFormat="1" ht="25.5" x14ac:dyDescent="0.2">
      <c r="B127" s="69" t="str">
        <f>PLAN!B29</f>
        <v xml:space="preserve"> 4.2.4 </v>
      </c>
      <c r="C127" s="64" t="str">
        <f>PLAN!E29</f>
        <v>PLACA ESMALTADA PARA IDENTIFICAÇÃO NR DE RUA, DIMENSÕES 45X25CM - (SINAPI 01/2020)</v>
      </c>
      <c r="D127" s="63" t="s">
        <v>95</v>
      </c>
      <c r="E127" s="63"/>
      <c r="F127" s="63"/>
      <c r="G127" s="63"/>
      <c r="H127" s="63" t="s">
        <v>82</v>
      </c>
      <c r="I127" s="116" t="s">
        <v>83</v>
      </c>
    </row>
    <row r="128" spans="2:9" x14ac:dyDescent="0.2">
      <c r="B128" s="112"/>
      <c r="C128" s="87"/>
      <c r="D128" s="88"/>
      <c r="E128" s="89"/>
      <c r="F128" s="88"/>
      <c r="G128" s="89"/>
      <c r="H128" s="88"/>
      <c r="I128" s="113"/>
    </row>
    <row r="129" spans="2:9" x14ac:dyDescent="0.2">
      <c r="B129" s="112"/>
      <c r="C129" s="87"/>
      <c r="D129" s="88">
        <v>2</v>
      </c>
      <c r="E129" s="89"/>
      <c r="F129" s="88"/>
      <c r="G129" s="89"/>
      <c r="H129" s="88">
        <f>PRODUCT(D129:G129)</f>
        <v>2</v>
      </c>
      <c r="I129" s="113" t="s">
        <v>12</v>
      </c>
    </row>
    <row r="130" spans="2:9" x14ac:dyDescent="0.2">
      <c r="B130" s="112"/>
      <c r="C130" s="87"/>
      <c r="D130" s="88"/>
      <c r="E130" s="89"/>
      <c r="F130" s="88"/>
      <c r="G130" s="89"/>
      <c r="H130" s="88"/>
      <c r="I130" s="113"/>
    </row>
    <row r="131" spans="2:9" x14ac:dyDescent="0.2">
      <c r="B131" s="114"/>
      <c r="C131" s="91"/>
      <c r="D131" s="222" t="s">
        <v>82</v>
      </c>
      <c r="E131" s="222"/>
      <c r="F131" s="222"/>
      <c r="G131" s="222"/>
      <c r="H131" s="92">
        <f>SUM(H128:H130)</f>
        <v>2</v>
      </c>
      <c r="I131" s="115" t="str">
        <f>I129</f>
        <v>UN</v>
      </c>
    </row>
    <row r="132" spans="2:9" x14ac:dyDescent="0.2">
      <c r="B132" s="112"/>
      <c r="C132" s="87"/>
      <c r="D132" s="88"/>
      <c r="E132" s="89"/>
      <c r="F132" s="88"/>
      <c r="G132" s="89"/>
      <c r="H132" s="88"/>
      <c r="I132" s="113"/>
    </row>
    <row r="133" spans="2:9" x14ac:dyDescent="0.2">
      <c r="B133" s="108" t="str">
        <f>PLAN!B30</f>
        <v xml:space="preserve"> 4.3 </v>
      </c>
      <c r="C133" s="101" t="str">
        <f>PLAN!E30</f>
        <v>RUA ALEXANDRINA LOPES DE MELO</v>
      </c>
      <c r="D133" s="100"/>
      <c r="E133" s="100"/>
      <c r="F133" s="100"/>
      <c r="G133" s="100"/>
      <c r="H133" s="100"/>
      <c r="I133" s="109"/>
    </row>
    <row r="134" spans="2:9" s="4" customFormat="1" ht="25.5" x14ac:dyDescent="0.2">
      <c r="B134" s="69" t="str">
        <f>PLAN!B31</f>
        <v xml:space="preserve"> 4.3.1 </v>
      </c>
      <c r="C134" s="64" t="str">
        <f>PLAN!E31</f>
        <v>REGULARIZAÇÃO DE SUPERFÍCIES COM MOTONIVELADORA. AF_11/2019</v>
      </c>
      <c r="D134" s="63" t="s">
        <v>78</v>
      </c>
      <c r="E134" s="63" t="s">
        <v>79</v>
      </c>
      <c r="F134" s="63"/>
      <c r="G134" s="63"/>
      <c r="H134" s="63" t="s">
        <v>82</v>
      </c>
      <c r="I134" s="116" t="s">
        <v>83</v>
      </c>
    </row>
    <row r="135" spans="2:9" x14ac:dyDescent="0.2">
      <c r="B135" s="112"/>
      <c r="C135" s="87"/>
      <c r="D135" s="88"/>
      <c r="E135" s="89"/>
      <c r="F135" s="88"/>
      <c r="G135" s="89"/>
      <c r="H135" s="88"/>
      <c r="I135" s="113"/>
    </row>
    <row r="136" spans="2:9" x14ac:dyDescent="0.2">
      <c r="B136" s="112"/>
      <c r="C136" s="87"/>
      <c r="D136" s="88">
        <f>92</f>
        <v>92</v>
      </c>
      <c r="E136" s="89">
        <v>6</v>
      </c>
      <c r="F136" s="88"/>
      <c r="G136" s="89"/>
      <c r="H136" s="88">
        <f>PRODUCT(D136:G136)</f>
        <v>552</v>
      </c>
      <c r="I136" s="113" t="s">
        <v>86</v>
      </c>
    </row>
    <row r="137" spans="2:9" x14ac:dyDescent="0.2">
      <c r="B137" s="112"/>
      <c r="C137" s="87"/>
      <c r="D137" s="88"/>
      <c r="E137" s="89"/>
      <c r="F137" s="88"/>
      <c r="G137" s="89"/>
      <c r="H137" s="88"/>
      <c r="I137" s="113"/>
    </row>
    <row r="138" spans="2:9" x14ac:dyDescent="0.2">
      <c r="B138" s="114"/>
      <c r="C138" s="91"/>
      <c r="D138" s="222" t="s">
        <v>82</v>
      </c>
      <c r="E138" s="222"/>
      <c r="F138" s="222"/>
      <c r="G138" s="222"/>
      <c r="H138" s="92">
        <f>SUM(H135:H137)</f>
        <v>552</v>
      </c>
      <c r="I138" s="115" t="str">
        <f>I136</f>
        <v>M2</v>
      </c>
    </row>
    <row r="139" spans="2:9" x14ac:dyDescent="0.2">
      <c r="B139" s="112"/>
      <c r="C139" s="87"/>
      <c r="D139" s="93"/>
      <c r="E139" s="93"/>
      <c r="F139" s="93"/>
      <c r="G139" s="93"/>
      <c r="H139" s="88"/>
      <c r="I139" s="113"/>
    </row>
    <row r="140" spans="2:9" s="4" customFormat="1" ht="63.75" x14ac:dyDescent="0.2">
      <c r="B140" s="69" t="str">
        <f>PLAN!B32</f>
        <v xml:space="preserve"> 4.3.2 </v>
      </c>
      <c r="C140" s="64" t="str">
        <f>PLAN!E32</f>
        <v>ASSENTAMENTO DE GUIA (MEIO-FIO) EM TRECHO RETO, CONFECCIONADA EM CONCRETO PRÉ-FABRICADO, DIMENSÕES 100X15X13X30 CM (COMPRIMENTO X BASE INFERIOR X BASE SUPERIOR X ALTURA). AF_01/2024</v>
      </c>
      <c r="D140" s="63" t="s">
        <v>78</v>
      </c>
      <c r="E140" s="63"/>
      <c r="F140" s="63" t="s">
        <v>80</v>
      </c>
      <c r="G140" s="63" t="s">
        <v>81</v>
      </c>
      <c r="H140" s="63" t="s">
        <v>82</v>
      </c>
      <c r="I140" s="116" t="s">
        <v>83</v>
      </c>
    </row>
    <row r="141" spans="2:9" x14ac:dyDescent="0.2">
      <c r="B141" s="112"/>
      <c r="C141" s="87"/>
      <c r="D141" s="88"/>
      <c r="E141" s="89"/>
      <c r="F141" s="88"/>
      <c r="G141" s="89"/>
      <c r="H141" s="88"/>
      <c r="I141" s="113"/>
    </row>
    <row r="142" spans="2:9" x14ac:dyDescent="0.2">
      <c r="B142" s="112"/>
      <c r="C142" s="87"/>
      <c r="D142" s="88">
        <v>92</v>
      </c>
      <c r="E142" s="89"/>
      <c r="F142" s="88">
        <v>2</v>
      </c>
      <c r="G142" s="89"/>
      <c r="H142" s="88">
        <f>PRODUCT(D142:G142)</f>
        <v>184</v>
      </c>
      <c r="I142" s="113" t="s">
        <v>21</v>
      </c>
    </row>
    <row r="143" spans="2:9" x14ac:dyDescent="0.2">
      <c r="B143" s="112"/>
      <c r="C143" s="90" t="s">
        <v>96</v>
      </c>
      <c r="D143" s="88">
        <v>6</v>
      </c>
      <c r="E143" s="89"/>
      <c r="F143" s="88"/>
      <c r="G143" s="89">
        <v>-1</v>
      </c>
      <c r="H143" s="88">
        <f>PRODUCT(D143:G143)</f>
        <v>-6</v>
      </c>
      <c r="I143" s="113" t="s">
        <v>21</v>
      </c>
    </row>
    <row r="144" spans="2:9" x14ac:dyDescent="0.2">
      <c r="B144" s="112"/>
      <c r="C144" s="87"/>
      <c r="D144" s="88"/>
      <c r="E144" s="89"/>
      <c r="F144" s="88"/>
      <c r="G144" s="89"/>
      <c r="H144" s="88"/>
      <c r="I144" s="113"/>
    </row>
    <row r="145" spans="2:9" x14ac:dyDescent="0.2">
      <c r="B145" s="114"/>
      <c r="C145" s="91"/>
      <c r="D145" s="222" t="s">
        <v>82</v>
      </c>
      <c r="E145" s="222"/>
      <c r="F145" s="222"/>
      <c r="G145" s="222"/>
      <c r="H145" s="92">
        <f>SUM(H141:H144)</f>
        <v>178</v>
      </c>
      <c r="I145" s="115" t="str">
        <f>I142</f>
        <v>M</v>
      </c>
    </row>
    <row r="146" spans="2:9" x14ac:dyDescent="0.2">
      <c r="B146" s="112"/>
      <c r="C146" s="87"/>
      <c r="D146" s="93"/>
      <c r="E146" s="93"/>
      <c r="F146" s="93"/>
      <c r="G146" s="93"/>
      <c r="H146" s="88"/>
      <c r="I146" s="113"/>
    </row>
    <row r="147" spans="2:9" s="4" customFormat="1" ht="38.25" x14ac:dyDescent="0.2">
      <c r="B147" s="69" t="str">
        <f>PLAN!B33</f>
        <v xml:space="preserve"> 4.3.3 </v>
      </c>
      <c r="C147" s="64" t="str">
        <f>PLAN!E33</f>
        <v>EXECUÇÃO DE PAVIMENTO EM PARALELEPÍPEDOS, REJUNTAMENTO COM ARGAMASSA TRAÇO 1:3 (CIMENTO E AREIA). AF_05/2020</v>
      </c>
      <c r="D147" s="63" t="s">
        <v>78</v>
      </c>
      <c r="E147" s="63" t="s">
        <v>79</v>
      </c>
      <c r="F147" s="63"/>
      <c r="G147" s="63"/>
      <c r="H147" s="63" t="s">
        <v>82</v>
      </c>
      <c r="I147" s="116" t="s">
        <v>83</v>
      </c>
    </row>
    <row r="148" spans="2:9" x14ac:dyDescent="0.2">
      <c r="B148" s="112"/>
      <c r="C148" s="87"/>
      <c r="D148" s="88"/>
      <c r="E148" s="89"/>
      <c r="F148" s="88"/>
      <c r="G148" s="89"/>
      <c r="H148" s="88"/>
      <c r="I148" s="113"/>
    </row>
    <row r="149" spans="2:9" x14ac:dyDescent="0.2">
      <c r="B149" s="112"/>
      <c r="C149" s="87"/>
      <c r="D149" s="88">
        <v>92</v>
      </c>
      <c r="E149" s="89">
        <v>6</v>
      </c>
      <c r="F149" s="88"/>
      <c r="G149" s="89"/>
      <c r="H149" s="88">
        <f>PRODUCT(D149:G149)</f>
        <v>552</v>
      </c>
      <c r="I149" s="113" t="s">
        <v>86</v>
      </c>
    </row>
    <row r="150" spans="2:9" x14ac:dyDescent="0.2">
      <c r="B150" s="112"/>
      <c r="C150" s="87"/>
      <c r="D150" s="88"/>
      <c r="E150" s="89"/>
      <c r="F150" s="88"/>
      <c r="G150" s="89"/>
      <c r="H150" s="88"/>
      <c r="I150" s="113"/>
    </row>
    <row r="151" spans="2:9" x14ac:dyDescent="0.2">
      <c r="B151" s="114"/>
      <c r="C151" s="91"/>
      <c r="D151" s="222" t="s">
        <v>82</v>
      </c>
      <c r="E151" s="222"/>
      <c r="F151" s="222"/>
      <c r="G151" s="222"/>
      <c r="H151" s="92">
        <f>SUM(H148:H150)</f>
        <v>552</v>
      </c>
      <c r="I151" s="115" t="str">
        <f>I149</f>
        <v>M2</v>
      </c>
    </row>
    <row r="152" spans="2:9" x14ac:dyDescent="0.2">
      <c r="B152" s="112"/>
      <c r="C152" s="87"/>
      <c r="D152" s="88"/>
      <c r="E152" s="89"/>
      <c r="F152" s="88"/>
      <c r="G152" s="89"/>
      <c r="H152" s="88"/>
      <c r="I152" s="113"/>
    </row>
    <row r="153" spans="2:9" s="4" customFormat="1" ht="25.5" x14ac:dyDescent="0.2">
      <c r="B153" s="69" t="str">
        <f>PLAN!B34</f>
        <v xml:space="preserve"> 4.3.4 </v>
      </c>
      <c r="C153" s="64" t="str">
        <f>PLAN!E34</f>
        <v>PLACA ESMALTADA PARA IDENTIFICAÇÃO NR DE RUA, DIMENSÕES 45X25CM - (SINAPI 01/2020)</v>
      </c>
      <c r="D153" s="63" t="s">
        <v>95</v>
      </c>
      <c r="E153" s="63"/>
      <c r="F153" s="63"/>
      <c r="G153" s="63"/>
      <c r="H153" s="63" t="s">
        <v>82</v>
      </c>
      <c r="I153" s="116" t="s">
        <v>83</v>
      </c>
    </row>
    <row r="154" spans="2:9" x14ac:dyDescent="0.2">
      <c r="B154" s="112"/>
      <c r="C154" s="87"/>
      <c r="D154" s="88"/>
      <c r="E154" s="89"/>
      <c r="F154" s="88"/>
      <c r="G154" s="89"/>
      <c r="H154" s="88"/>
      <c r="I154" s="113"/>
    </row>
    <row r="155" spans="2:9" x14ac:dyDescent="0.2">
      <c r="B155" s="112"/>
      <c r="C155" s="87"/>
      <c r="D155" s="88">
        <v>2</v>
      </c>
      <c r="E155" s="89"/>
      <c r="F155" s="88"/>
      <c r="G155" s="89"/>
      <c r="H155" s="88">
        <f>PRODUCT(D155:G155)</f>
        <v>2</v>
      </c>
      <c r="I155" s="113" t="s">
        <v>12</v>
      </c>
    </row>
    <row r="156" spans="2:9" x14ac:dyDescent="0.2">
      <c r="B156" s="112"/>
      <c r="C156" s="87"/>
      <c r="D156" s="88"/>
      <c r="E156" s="89"/>
      <c r="F156" s="88"/>
      <c r="G156" s="89"/>
      <c r="H156" s="88"/>
      <c r="I156" s="113"/>
    </row>
    <row r="157" spans="2:9" x14ac:dyDescent="0.2">
      <c r="B157" s="114"/>
      <c r="C157" s="91"/>
      <c r="D157" s="222" t="s">
        <v>82</v>
      </c>
      <c r="E157" s="222"/>
      <c r="F157" s="222"/>
      <c r="G157" s="222"/>
      <c r="H157" s="92">
        <f>SUM(H154:H156)</f>
        <v>2</v>
      </c>
      <c r="I157" s="115" t="str">
        <f>I155</f>
        <v>UN</v>
      </c>
    </row>
    <row r="158" spans="2:9" x14ac:dyDescent="0.2">
      <c r="B158" s="112"/>
      <c r="C158" s="87"/>
      <c r="D158" s="88"/>
      <c r="E158" s="89"/>
      <c r="F158" s="88"/>
      <c r="G158" s="89"/>
      <c r="H158" s="88"/>
      <c r="I158" s="113"/>
    </row>
    <row r="159" spans="2:9" x14ac:dyDescent="0.2">
      <c r="B159" s="108" t="str">
        <f>PLAN!B35</f>
        <v xml:space="preserve"> 4.4 </v>
      </c>
      <c r="C159" s="101" t="str">
        <f>PLAN!E35</f>
        <v>RUA MARIA JOSE RAMOS DOS PASSOS</v>
      </c>
      <c r="D159" s="100"/>
      <c r="E159" s="100"/>
      <c r="F159" s="100"/>
      <c r="G159" s="100"/>
      <c r="H159" s="100"/>
      <c r="I159" s="109"/>
    </row>
    <row r="160" spans="2:9" s="4" customFormat="1" ht="25.5" x14ac:dyDescent="0.2">
      <c r="B160" s="69" t="str">
        <f>PLAN!B36</f>
        <v xml:space="preserve"> 4.4.1 </v>
      </c>
      <c r="C160" s="64" t="str">
        <f>PLAN!E36</f>
        <v>REGULARIZAÇÃO DE SUPERFÍCIES COM MOTONIVELADORA. AF_11/2019</v>
      </c>
      <c r="D160" s="63" t="s">
        <v>78</v>
      </c>
      <c r="E160" s="63" t="s">
        <v>79</v>
      </c>
      <c r="F160" s="63"/>
      <c r="G160" s="63"/>
      <c r="H160" s="63" t="s">
        <v>82</v>
      </c>
      <c r="I160" s="116" t="s">
        <v>83</v>
      </c>
    </row>
    <row r="161" spans="2:9" x14ac:dyDescent="0.2">
      <c r="B161" s="112"/>
      <c r="C161" s="87"/>
      <c r="D161" s="88"/>
      <c r="E161" s="89"/>
      <c r="F161" s="88"/>
      <c r="G161" s="89"/>
      <c r="H161" s="88"/>
      <c r="I161" s="113"/>
    </row>
    <row r="162" spans="2:9" x14ac:dyDescent="0.2">
      <c r="B162" s="112"/>
      <c r="C162" s="87"/>
      <c r="D162" s="88">
        <v>45.2</v>
      </c>
      <c r="E162" s="89">
        <v>7</v>
      </c>
      <c r="F162" s="88"/>
      <c r="G162" s="89"/>
      <c r="H162" s="88">
        <f>PRODUCT(D162:G162)</f>
        <v>316.40000000000003</v>
      </c>
      <c r="I162" s="113" t="s">
        <v>86</v>
      </c>
    </row>
    <row r="163" spans="2:9" x14ac:dyDescent="0.2">
      <c r="B163" s="112"/>
      <c r="C163" s="87"/>
      <c r="D163" s="88"/>
      <c r="E163" s="89"/>
      <c r="F163" s="88"/>
      <c r="G163" s="89"/>
      <c r="H163" s="88"/>
      <c r="I163" s="113"/>
    </row>
    <row r="164" spans="2:9" x14ac:dyDescent="0.2">
      <c r="B164" s="114"/>
      <c r="C164" s="91"/>
      <c r="D164" s="222" t="s">
        <v>82</v>
      </c>
      <c r="E164" s="222"/>
      <c r="F164" s="222"/>
      <c r="G164" s="222"/>
      <c r="H164" s="92">
        <f>SUM(H161:H163)</f>
        <v>316.40000000000003</v>
      </c>
      <c r="I164" s="115" t="str">
        <f>I162</f>
        <v>M2</v>
      </c>
    </row>
    <row r="165" spans="2:9" x14ac:dyDescent="0.2">
      <c r="B165" s="112"/>
      <c r="C165" s="87"/>
      <c r="D165" s="93"/>
      <c r="E165" s="93"/>
      <c r="F165" s="93"/>
      <c r="G165" s="93"/>
      <c r="H165" s="88"/>
      <c r="I165" s="113"/>
    </row>
    <row r="166" spans="2:9" s="4" customFormat="1" ht="63.75" x14ac:dyDescent="0.2">
      <c r="B166" s="69" t="str">
        <f>PLAN!B37</f>
        <v xml:space="preserve"> 4.4.2 </v>
      </c>
      <c r="C166" s="64" t="str">
        <f>PLAN!E37</f>
        <v>ASSENTAMENTO DE GUIA (MEIO-FIO) EM TRECHO RETO, CONFECCIONADA EM CONCRETO PRÉ-FABRICADO, DIMENSÕES 100X15X13X30 CM (COMPRIMENTO X BASE INFERIOR X BASE SUPERIOR X ALTURA). AF_01/2024</v>
      </c>
      <c r="D166" s="63" t="s">
        <v>78</v>
      </c>
      <c r="E166" s="63"/>
      <c r="F166" s="63" t="s">
        <v>80</v>
      </c>
      <c r="G166" s="63" t="s">
        <v>81</v>
      </c>
      <c r="H166" s="63" t="s">
        <v>82</v>
      </c>
      <c r="I166" s="116" t="s">
        <v>83</v>
      </c>
    </row>
    <row r="167" spans="2:9" x14ac:dyDescent="0.2">
      <c r="B167" s="112"/>
      <c r="C167" s="87"/>
      <c r="D167" s="88"/>
      <c r="E167" s="89"/>
      <c r="F167" s="88"/>
      <c r="G167" s="89"/>
      <c r="H167" s="88"/>
      <c r="I167" s="113"/>
    </row>
    <row r="168" spans="2:9" x14ac:dyDescent="0.2">
      <c r="B168" s="112"/>
      <c r="C168" s="87"/>
      <c r="D168" s="88">
        <v>45.2</v>
      </c>
      <c r="E168" s="89"/>
      <c r="F168" s="88">
        <v>2</v>
      </c>
      <c r="G168" s="89"/>
      <c r="H168" s="88">
        <f>PRODUCT(D168:G168)</f>
        <v>90.4</v>
      </c>
      <c r="I168" s="113" t="s">
        <v>21</v>
      </c>
    </row>
    <row r="169" spans="2:9" x14ac:dyDescent="0.2">
      <c r="B169" s="112"/>
      <c r="C169" s="87"/>
      <c r="D169" s="88"/>
      <c r="E169" s="89"/>
      <c r="F169" s="88"/>
      <c r="G169" s="89"/>
      <c r="H169" s="88"/>
      <c r="I169" s="113"/>
    </row>
    <row r="170" spans="2:9" x14ac:dyDescent="0.2">
      <c r="B170" s="114"/>
      <c r="C170" s="91"/>
      <c r="D170" s="222" t="s">
        <v>82</v>
      </c>
      <c r="E170" s="222"/>
      <c r="F170" s="222"/>
      <c r="G170" s="222"/>
      <c r="H170" s="92">
        <f>SUM(H167:H169)</f>
        <v>90.4</v>
      </c>
      <c r="I170" s="115" t="str">
        <f>I168</f>
        <v>M</v>
      </c>
    </row>
    <row r="171" spans="2:9" x14ac:dyDescent="0.2">
      <c r="B171" s="112"/>
      <c r="C171" s="87"/>
      <c r="D171" s="93"/>
      <c r="E171" s="93"/>
      <c r="F171" s="93"/>
      <c r="G171" s="93"/>
      <c r="H171" s="88"/>
      <c r="I171" s="113"/>
    </row>
    <row r="172" spans="2:9" s="4" customFormat="1" ht="38.25" x14ac:dyDescent="0.2">
      <c r="B172" s="69" t="str">
        <f>PLAN!B38</f>
        <v xml:space="preserve"> 4.4.3 </v>
      </c>
      <c r="C172" s="64" t="str">
        <f>PLAN!E38</f>
        <v>EXECUÇÃO DE PAVIMENTO EM PARALELEPÍPEDOS, REJUNTAMENTO COM ARGAMASSA TRAÇO 1:3 (CIMENTO E AREIA). AF_05/2020</v>
      </c>
      <c r="D172" s="63" t="s">
        <v>78</v>
      </c>
      <c r="E172" s="63" t="s">
        <v>79</v>
      </c>
      <c r="F172" s="63"/>
      <c r="G172" s="63"/>
      <c r="H172" s="63" t="s">
        <v>82</v>
      </c>
      <c r="I172" s="116" t="s">
        <v>83</v>
      </c>
    </row>
    <row r="173" spans="2:9" x14ac:dyDescent="0.2">
      <c r="B173" s="112"/>
      <c r="C173" s="87"/>
      <c r="D173" s="88"/>
      <c r="E173" s="89"/>
      <c r="F173" s="88"/>
      <c r="G173" s="89"/>
      <c r="H173" s="88"/>
      <c r="I173" s="113"/>
    </row>
    <row r="174" spans="2:9" x14ac:dyDescent="0.2">
      <c r="B174" s="112"/>
      <c r="C174" s="87"/>
      <c r="D174" s="88">
        <v>45.2</v>
      </c>
      <c r="E174" s="89">
        <v>7</v>
      </c>
      <c r="F174" s="88"/>
      <c r="G174" s="89"/>
      <c r="H174" s="88">
        <f>PRODUCT(D174:G174)</f>
        <v>316.40000000000003</v>
      </c>
      <c r="I174" s="113" t="s">
        <v>86</v>
      </c>
    </row>
    <row r="175" spans="2:9" x14ac:dyDescent="0.2">
      <c r="B175" s="112"/>
      <c r="C175" s="87"/>
      <c r="D175" s="88"/>
      <c r="E175" s="89"/>
      <c r="F175" s="88"/>
      <c r="G175" s="89"/>
      <c r="H175" s="88"/>
      <c r="I175" s="113"/>
    </row>
    <row r="176" spans="2:9" x14ac:dyDescent="0.2">
      <c r="B176" s="114"/>
      <c r="C176" s="91"/>
      <c r="D176" s="222" t="s">
        <v>82</v>
      </c>
      <c r="E176" s="222"/>
      <c r="F176" s="222"/>
      <c r="G176" s="222"/>
      <c r="H176" s="92">
        <f>SUM(H173:H175)</f>
        <v>316.40000000000003</v>
      </c>
      <c r="I176" s="115" t="str">
        <f>I174</f>
        <v>M2</v>
      </c>
    </row>
    <row r="177" spans="2:9" x14ac:dyDescent="0.2">
      <c r="B177" s="112"/>
      <c r="C177" s="87"/>
      <c r="D177" s="88"/>
      <c r="E177" s="89"/>
      <c r="F177" s="88"/>
      <c r="G177" s="89"/>
      <c r="H177" s="88"/>
      <c r="I177" s="113"/>
    </row>
    <row r="178" spans="2:9" s="4" customFormat="1" ht="25.5" x14ac:dyDescent="0.2">
      <c r="B178" s="69" t="str">
        <f>PLAN!B39</f>
        <v xml:space="preserve"> 4.4.4 </v>
      </c>
      <c r="C178" s="64" t="str">
        <f>PLAN!E39</f>
        <v>PLACA ESMALTADA PARA IDENTIFICAÇÃO NR DE RUA, DIMENSÕES 45X25CM - (SINAPI 01/2020)</v>
      </c>
      <c r="D178" s="63" t="s">
        <v>95</v>
      </c>
      <c r="E178" s="63"/>
      <c r="F178" s="63"/>
      <c r="G178" s="63"/>
      <c r="H178" s="63" t="s">
        <v>82</v>
      </c>
      <c r="I178" s="116" t="s">
        <v>83</v>
      </c>
    </row>
    <row r="179" spans="2:9" x14ac:dyDescent="0.2">
      <c r="B179" s="112"/>
      <c r="C179" s="87"/>
      <c r="D179" s="88"/>
      <c r="E179" s="89"/>
      <c r="F179" s="88"/>
      <c r="G179" s="89"/>
      <c r="H179" s="88"/>
      <c r="I179" s="113"/>
    </row>
    <row r="180" spans="2:9" x14ac:dyDescent="0.2">
      <c r="B180" s="112"/>
      <c r="C180" s="87"/>
      <c r="D180" s="88">
        <v>2</v>
      </c>
      <c r="E180" s="89"/>
      <c r="F180" s="88"/>
      <c r="G180" s="89"/>
      <c r="H180" s="88">
        <f>PRODUCT(D180:G180)</f>
        <v>2</v>
      </c>
      <c r="I180" s="113" t="s">
        <v>12</v>
      </c>
    </row>
    <row r="181" spans="2:9" x14ac:dyDescent="0.2">
      <c r="B181" s="112"/>
      <c r="C181" s="87"/>
      <c r="D181" s="88"/>
      <c r="E181" s="89"/>
      <c r="F181" s="88"/>
      <c r="G181" s="89"/>
      <c r="H181" s="88"/>
      <c r="I181" s="113"/>
    </row>
    <row r="182" spans="2:9" x14ac:dyDescent="0.2">
      <c r="B182" s="114"/>
      <c r="C182" s="91"/>
      <c r="D182" s="222" t="s">
        <v>82</v>
      </c>
      <c r="E182" s="222"/>
      <c r="F182" s="222"/>
      <c r="G182" s="222"/>
      <c r="H182" s="92">
        <f>SUM(H179:H181)</f>
        <v>2</v>
      </c>
      <c r="I182" s="115" t="str">
        <f>I180</f>
        <v>UN</v>
      </c>
    </row>
    <row r="183" spans="2:9" x14ac:dyDescent="0.2">
      <c r="B183" s="112"/>
      <c r="C183" s="87"/>
      <c r="D183" s="88"/>
      <c r="E183" s="89"/>
      <c r="F183" s="88"/>
      <c r="G183" s="89"/>
      <c r="H183" s="88"/>
      <c r="I183" s="113"/>
    </row>
    <row r="184" spans="2:9" x14ac:dyDescent="0.2">
      <c r="B184" s="108" t="str">
        <f>PLAN!B40</f>
        <v xml:space="preserve"> 4.5 </v>
      </c>
      <c r="C184" s="101" t="str">
        <f>PLAN!E40</f>
        <v>RUA COMERCIANTE MANOEL PEDRO DA SILVA</v>
      </c>
      <c r="D184" s="100"/>
      <c r="E184" s="100"/>
      <c r="F184" s="100"/>
      <c r="G184" s="100"/>
      <c r="H184" s="100"/>
      <c r="I184" s="109"/>
    </row>
    <row r="185" spans="2:9" s="4" customFormat="1" ht="25.5" x14ac:dyDescent="0.2">
      <c r="B185" s="69" t="str">
        <f>PLAN!B41</f>
        <v xml:space="preserve"> 4.5.1 </v>
      </c>
      <c r="C185" s="64" t="str">
        <f>PLAN!E41</f>
        <v>REGULARIZAÇÃO DE SUPERFÍCIES COM MOTONIVELADORA. AF_11/2019</v>
      </c>
      <c r="D185" s="63" t="s">
        <v>78</v>
      </c>
      <c r="E185" s="63" t="s">
        <v>79</v>
      </c>
      <c r="F185" s="63"/>
      <c r="G185" s="63"/>
      <c r="H185" s="63" t="s">
        <v>82</v>
      </c>
      <c r="I185" s="116" t="s">
        <v>83</v>
      </c>
    </row>
    <row r="186" spans="2:9" x14ac:dyDescent="0.2">
      <c r="B186" s="112"/>
      <c r="C186" s="87"/>
      <c r="D186" s="88"/>
      <c r="E186" s="89"/>
      <c r="F186" s="88"/>
      <c r="G186" s="89"/>
      <c r="H186" s="88"/>
      <c r="I186" s="113"/>
    </row>
    <row r="187" spans="2:9" x14ac:dyDescent="0.2">
      <c r="B187" s="112"/>
      <c r="C187" s="87"/>
      <c r="D187" s="88">
        <v>46</v>
      </c>
      <c r="E187" s="89">
        <v>7</v>
      </c>
      <c r="F187" s="88"/>
      <c r="G187" s="89"/>
      <c r="H187" s="88">
        <f>PRODUCT(D187:G187)</f>
        <v>322</v>
      </c>
      <c r="I187" s="113" t="s">
        <v>86</v>
      </c>
    </row>
    <row r="188" spans="2:9" x14ac:dyDescent="0.2">
      <c r="B188" s="112"/>
      <c r="C188" s="87"/>
      <c r="D188" s="88"/>
      <c r="E188" s="89"/>
      <c r="F188" s="88"/>
      <c r="G188" s="89"/>
      <c r="H188" s="88"/>
      <c r="I188" s="113"/>
    </row>
    <row r="189" spans="2:9" x14ac:dyDescent="0.2">
      <c r="B189" s="114"/>
      <c r="C189" s="91"/>
      <c r="D189" s="222" t="s">
        <v>82</v>
      </c>
      <c r="E189" s="222"/>
      <c r="F189" s="222"/>
      <c r="G189" s="222"/>
      <c r="H189" s="92">
        <f>SUM(H186:H188)</f>
        <v>322</v>
      </c>
      <c r="I189" s="115" t="str">
        <f>I187</f>
        <v>M2</v>
      </c>
    </row>
    <row r="190" spans="2:9" x14ac:dyDescent="0.2">
      <c r="B190" s="112"/>
      <c r="C190" s="87"/>
      <c r="D190" s="93"/>
      <c r="E190" s="93"/>
      <c r="F190" s="93"/>
      <c r="G190" s="93"/>
      <c r="H190" s="88"/>
      <c r="I190" s="113"/>
    </row>
    <row r="191" spans="2:9" s="4" customFormat="1" ht="63.75" x14ac:dyDescent="0.2">
      <c r="B191" s="69" t="str">
        <f>PLAN!B42</f>
        <v xml:space="preserve"> 4.5.2 </v>
      </c>
      <c r="C191" s="64" t="str">
        <f>PLAN!E42</f>
        <v>ASSENTAMENTO DE GUIA (MEIO-FIO) EM TRECHO RETO, CONFECCIONADA EM CONCRETO PRÉ-FABRICADO, DIMENSÕES 100X15X13X30 CM (COMPRIMENTO X BASE INFERIOR X BASE SUPERIOR X ALTURA). AF_01/2024</v>
      </c>
      <c r="D191" s="63" t="s">
        <v>78</v>
      </c>
      <c r="E191" s="63"/>
      <c r="F191" s="63" t="s">
        <v>80</v>
      </c>
      <c r="G191" s="63" t="s">
        <v>81</v>
      </c>
      <c r="H191" s="63" t="s">
        <v>82</v>
      </c>
      <c r="I191" s="116" t="s">
        <v>83</v>
      </c>
    </row>
    <row r="192" spans="2:9" x14ac:dyDescent="0.2">
      <c r="B192" s="112"/>
      <c r="C192" s="87"/>
      <c r="D192" s="88"/>
      <c r="E192" s="89"/>
      <c r="F192" s="88"/>
      <c r="G192" s="89"/>
      <c r="H192" s="88"/>
      <c r="I192" s="113"/>
    </row>
    <row r="193" spans="2:9" x14ac:dyDescent="0.2">
      <c r="B193" s="112"/>
      <c r="C193" s="87"/>
      <c r="D193" s="88">
        <v>46</v>
      </c>
      <c r="E193" s="89"/>
      <c r="F193" s="88">
        <v>2</v>
      </c>
      <c r="G193" s="89"/>
      <c r="H193" s="88">
        <f>PRODUCT(D193:G193)</f>
        <v>92</v>
      </c>
      <c r="I193" s="113" t="s">
        <v>21</v>
      </c>
    </row>
    <row r="194" spans="2:9" x14ac:dyDescent="0.2">
      <c r="B194" s="112"/>
      <c r="C194" s="87"/>
      <c r="D194" s="88"/>
      <c r="E194" s="89"/>
      <c r="F194" s="88"/>
      <c r="G194" s="89"/>
      <c r="H194" s="88"/>
      <c r="I194" s="113"/>
    </row>
    <row r="195" spans="2:9" x14ac:dyDescent="0.2">
      <c r="B195" s="114"/>
      <c r="C195" s="91"/>
      <c r="D195" s="222" t="s">
        <v>82</v>
      </c>
      <c r="E195" s="222"/>
      <c r="F195" s="222"/>
      <c r="G195" s="222"/>
      <c r="H195" s="92">
        <f>SUM(H192:H194)</f>
        <v>92</v>
      </c>
      <c r="I195" s="115" t="str">
        <f>I193</f>
        <v>M</v>
      </c>
    </row>
    <row r="196" spans="2:9" x14ac:dyDescent="0.2">
      <c r="B196" s="112"/>
      <c r="C196" s="87"/>
      <c r="D196" s="93"/>
      <c r="E196" s="93"/>
      <c r="F196" s="93"/>
      <c r="G196" s="93"/>
      <c r="H196" s="88"/>
      <c r="I196" s="113"/>
    </row>
    <row r="197" spans="2:9" s="4" customFormat="1" ht="38.25" x14ac:dyDescent="0.2">
      <c r="B197" s="69" t="str">
        <f>PLAN!B43</f>
        <v xml:space="preserve"> 4.5.3 </v>
      </c>
      <c r="C197" s="64" t="str">
        <f>PLAN!E43</f>
        <v>EXECUÇÃO DE PAVIMENTO EM PARALELEPÍPEDOS, REJUNTAMENTO COM ARGAMASSA TRAÇO 1:3 (CIMENTO E AREIA). AF_05/2020</v>
      </c>
      <c r="D197" s="63" t="s">
        <v>78</v>
      </c>
      <c r="E197" s="63" t="s">
        <v>79</v>
      </c>
      <c r="F197" s="63"/>
      <c r="G197" s="63"/>
      <c r="H197" s="63" t="s">
        <v>82</v>
      </c>
      <c r="I197" s="116" t="s">
        <v>83</v>
      </c>
    </row>
    <row r="198" spans="2:9" x14ac:dyDescent="0.2">
      <c r="B198" s="112"/>
      <c r="C198" s="87"/>
      <c r="D198" s="88"/>
      <c r="E198" s="89"/>
      <c r="F198" s="88"/>
      <c r="G198" s="89"/>
      <c r="H198" s="88"/>
      <c r="I198" s="113"/>
    </row>
    <row r="199" spans="2:9" x14ac:dyDescent="0.2">
      <c r="B199" s="112"/>
      <c r="C199" s="87"/>
      <c r="D199" s="88">
        <v>46</v>
      </c>
      <c r="E199" s="89">
        <v>7</v>
      </c>
      <c r="F199" s="88"/>
      <c r="G199" s="89"/>
      <c r="H199" s="88">
        <f>PRODUCT(D199:G199)</f>
        <v>322</v>
      </c>
      <c r="I199" s="113" t="s">
        <v>86</v>
      </c>
    </row>
    <row r="200" spans="2:9" x14ac:dyDescent="0.2">
      <c r="B200" s="112"/>
      <c r="C200" s="87"/>
      <c r="D200" s="88"/>
      <c r="E200" s="89"/>
      <c r="F200" s="88"/>
      <c r="G200" s="89"/>
      <c r="H200" s="88"/>
      <c r="I200" s="113"/>
    </row>
    <row r="201" spans="2:9" x14ac:dyDescent="0.2">
      <c r="B201" s="114"/>
      <c r="C201" s="91"/>
      <c r="D201" s="222" t="s">
        <v>82</v>
      </c>
      <c r="E201" s="222"/>
      <c r="F201" s="222"/>
      <c r="G201" s="222"/>
      <c r="H201" s="92">
        <f>SUM(H198:H200)</f>
        <v>322</v>
      </c>
      <c r="I201" s="115" t="str">
        <f>I199</f>
        <v>M2</v>
      </c>
    </row>
    <row r="202" spans="2:9" x14ac:dyDescent="0.2">
      <c r="B202" s="112"/>
      <c r="C202" s="87"/>
      <c r="D202" s="88"/>
      <c r="E202" s="89"/>
      <c r="F202" s="88"/>
      <c r="G202" s="89"/>
      <c r="H202" s="88"/>
      <c r="I202" s="113"/>
    </row>
    <row r="203" spans="2:9" s="4" customFormat="1" ht="25.5" x14ac:dyDescent="0.2">
      <c r="B203" s="69" t="str">
        <f>PLAN!B44</f>
        <v xml:space="preserve"> 4.5.4 </v>
      </c>
      <c r="C203" s="64" t="str">
        <f>PLAN!E44</f>
        <v>PLACA ESMALTADA PARA IDENTIFICAÇÃO NR DE RUA, DIMENSÕES 45X25CM - (SINAPI 01/2020)</v>
      </c>
      <c r="D203" s="63" t="s">
        <v>95</v>
      </c>
      <c r="E203" s="63"/>
      <c r="F203" s="63"/>
      <c r="G203" s="63"/>
      <c r="H203" s="63" t="s">
        <v>82</v>
      </c>
      <c r="I203" s="116" t="s">
        <v>83</v>
      </c>
    </row>
    <row r="204" spans="2:9" x14ac:dyDescent="0.2">
      <c r="B204" s="112"/>
      <c r="C204" s="87"/>
      <c r="D204" s="88"/>
      <c r="E204" s="89"/>
      <c r="F204" s="88"/>
      <c r="G204" s="89"/>
      <c r="H204" s="88"/>
      <c r="I204" s="113"/>
    </row>
    <row r="205" spans="2:9" x14ac:dyDescent="0.2">
      <c r="B205" s="112"/>
      <c r="C205" s="87"/>
      <c r="D205" s="88">
        <v>2</v>
      </c>
      <c r="E205" s="89"/>
      <c r="F205" s="88"/>
      <c r="G205" s="89"/>
      <c r="H205" s="88">
        <f>PRODUCT(D205:G205)</f>
        <v>2</v>
      </c>
      <c r="I205" s="113" t="s">
        <v>12</v>
      </c>
    </row>
    <row r="206" spans="2:9" x14ac:dyDescent="0.2">
      <c r="B206" s="112"/>
      <c r="C206" s="87"/>
      <c r="D206" s="88"/>
      <c r="E206" s="89"/>
      <c r="F206" s="88"/>
      <c r="G206" s="89"/>
      <c r="H206" s="88"/>
      <c r="I206" s="113"/>
    </row>
    <row r="207" spans="2:9" x14ac:dyDescent="0.2">
      <c r="B207" s="114"/>
      <c r="C207" s="91"/>
      <c r="D207" s="222" t="s">
        <v>82</v>
      </c>
      <c r="E207" s="222"/>
      <c r="F207" s="222"/>
      <c r="G207" s="222"/>
      <c r="H207" s="92">
        <f>SUM(H204:H206)</f>
        <v>2</v>
      </c>
      <c r="I207" s="115" t="str">
        <f>I205</f>
        <v>UN</v>
      </c>
    </row>
    <row r="208" spans="2:9" x14ac:dyDescent="0.2">
      <c r="B208" s="112"/>
      <c r="C208" s="87"/>
      <c r="D208" s="88"/>
      <c r="E208" s="89"/>
      <c r="F208" s="88"/>
      <c r="G208" s="89"/>
      <c r="H208" s="88"/>
      <c r="I208" s="113"/>
    </row>
    <row r="209" spans="2:9" x14ac:dyDescent="0.2">
      <c r="B209" s="108" t="str">
        <f>PLAN!B45</f>
        <v xml:space="preserve"> 4.6 </v>
      </c>
      <c r="C209" s="101" t="str">
        <f>PLAN!E45</f>
        <v>RUA MARIA ABÍLIA DA SILVA</v>
      </c>
      <c r="D209" s="100"/>
      <c r="E209" s="100"/>
      <c r="F209" s="100"/>
      <c r="G209" s="100"/>
      <c r="H209" s="100"/>
      <c r="I209" s="109"/>
    </row>
    <row r="210" spans="2:9" s="4" customFormat="1" ht="25.5" x14ac:dyDescent="0.2">
      <c r="B210" s="69" t="str">
        <f>PLAN!B46</f>
        <v xml:space="preserve"> 4.6.1 </v>
      </c>
      <c r="C210" s="64" t="str">
        <f>PLAN!E46</f>
        <v>REGULARIZAÇÃO DE SUPERFÍCIES COM MOTONIVELADORA. AF_11/2019</v>
      </c>
      <c r="D210" s="63" t="s">
        <v>78</v>
      </c>
      <c r="E210" s="63" t="s">
        <v>79</v>
      </c>
      <c r="F210" s="63"/>
      <c r="G210" s="63"/>
      <c r="H210" s="63" t="s">
        <v>82</v>
      </c>
      <c r="I210" s="116" t="s">
        <v>83</v>
      </c>
    </row>
    <row r="211" spans="2:9" x14ac:dyDescent="0.2">
      <c r="B211" s="112"/>
      <c r="C211" s="87"/>
      <c r="D211" s="88"/>
      <c r="E211" s="89"/>
      <c r="F211" s="88"/>
      <c r="G211" s="89"/>
      <c r="H211" s="88"/>
      <c r="I211" s="113"/>
    </row>
    <row r="212" spans="2:9" x14ac:dyDescent="0.2">
      <c r="B212" s="112"/>
      <c r="C212" s="87"/>
      <c r="D212" s="88">
        <v>47.2</v>
      </c>
      <c r="E212" s="89">
        <v>7</v>
      </c>
      <c r="F212" s="88"/>
      <c r="G212" s="89"/>
      <c r="H212" s="88">
        <f>PRODUCT(D212:G212)</f>
        <v>330.40000000000003</v>
      </c>
      <c r="I212" s="113" t="s">
        <v>86</v>
      </c>
    </row>
    <row r="213" spans="2:9" x14ac:dyDescent="0.2">
      <c r="B213" s="112"/>
      <c r="C213" s="87"/>
      <c r="D213" s="88"/>
      <c r="E213" s="89"/>
      <c r="F213" s="88"/>
      <c r="G213" s="89"/>
      <c r="H213" s="88"/>
      <c r="I213" s="113"/>
    </row>
    <row r="214" spans="2:9" x14ac:dyDescent="0.2">
      <c r="B214" s="114"/>
      <c r="C214" s="91"/>
      <c r="D214" s="222" t="s">
        <v>82</v>
      </c>
      <c r="E214" s="222"/>
      <c r="F214" s="222"/>
      <c r="G214" s="222"/>
      <c r="H214" s="92">
        <f>SUM(H211:H213)</f>
        <v>330.40000000000003</v>
      </c>
      <c r="I214" s="115" t="str">
        <f>I212</f>
        <v>M2</v>
      </c>
    </row>
    <row r="215" spans="2:9" x14ac:dyDescent="0.2">
      <c r="B215" s="112"/>
      <c r="C215" s="87"/>
      <c r="D215" s="93"/>
      <c r="E215" s="93"/>
      <c r="F215" s="93"/>
      <c r="G215" s="93"/>
      <c r="H215" s="88"/>
      <c r="I215" s="113"/>
    </row>
    <row r="216" spans="2:9" s="4" customFormat="1" ht="63.75" x14ac:dyDescent="0.2">
      <c r="B216" s="69" t="str">
        <f>PLAN!B47</f>
        <v xml:space="preserve"> 4.6.2 </v>
      </c>
      <c r="C216" s="64" t="str">
        <f>PLAN!E47</f>
        <v>ASSENTAMENTO DE GUIA (MEIO-FIO) EM TRECHO RETO, CONFECCIONADA EM CONCRETO PRÉ-FABRICADO, DIMENSÕES 100X15X13X30 CM (COMPRIMENTO X BASE INFERIOR X BASE SUPERIOR X ALTURA). AF_01/2024</v>
      </c>
      <c r="D216" s="63" t="s">
        <v>78</v>
      </c>
      <c r="E216" s="63"/>
      <c r="F216" s="63" t="s">
        <v>80</v>
      </c>
      <c r="G216" s="63" t="s">
        <v>81</v>
      </c>
      <c r="H216" s="63" t="s">
        <v>82</v>
      </c>
      <c r="I216" s="116" t="s">
        <v>83</v>
      </c>
    </row>
    <row r="217" spans="2:9" x14ac:dyDescent="0.2">
      <c r="B217" s="112"/>
      <c r="C217" s="87"/>
      <c r="D217" s="88"/>
      <c r="E217" s="89"/>
      <c r="F217" s="88"/>
      <c r="G217" s="89"/>
      <c r="H217" s="88"/>
      <c r="I217" s="113"/>
    </row>
    <row r="218" spans="2:9" x14ac:dyDescent="0.2">
      <c r="B218" s="112"/>
      <c r="C218" s="87"/>
      <c r="D218" s="88">
        <v>47.2</v>
      </c>
      <c r="E218" s="89"/>
      <c r="F218" s="88">
        <v>2</v>
      </c>
      <c r="G218" s="89"/>
      <c r="H218" s="88">
        <f>PRODUCT(D218:G218)</f>
        <v>94.4</v>
      </c>
      <c r="I218" s="113" t="s">
        <v>21</v>
      </c>
    </row>
    <row r="219" spans="2:9" x14ac:dyDescent="0.2">
      <c r="B219" s="112"/>
      <c r="C219" s="87"/>
      <c r="D219" s="88"/>
      <c r="E219" s="89"/>
      <c r="F219" s="88"/>
      <c r="G219" s="89"/>
      <c r="H219" s="88"/>
      <c r="I219" s="113"/>
    </row>
    <row r="220" spans="2:9" x14ac:dyDescent="0.2">
      <c r="B220" s="114"/>
      <c r="C220" s="91"/>
      <c r="D220" s="222" t="s">
        <v>82</v>
      </c>
      <c r="E220" s="222"/>
      <c r="F220" s="222"/>
      <c r="G220" s="222"/>
      <c r="H220" s="92">
        <f>SUM(H217:H219)</f>
        <v>94.4</v>
      </c>
      <c r="I220" s="115" t="str">
        <f>I218</f>
        <v>M</v>
      </c>
    </row>
    <row r="221" spans="2:9" x14ac:dyDescent="0.2">
      <c r="B221" s="112"/>
      <c r="C221" s="87"/>
      <c r="D221" s="93"/>
      <c r="E221" s="93"/>
      <c r="F221" s="93"/>
      <c r="G221" s="93"/>
      <c r="H221" s="88"/>
      <c r="I221" s="113"/>
    </row>
    <row r="222" spans="2:9" s="4" customFormat="1" ht="38.25" x14ac:dyDescent="0.2">
      <c r="B222" s="69" t="str">
        <f>PLAN!B48</f>
        <v xml:space="preserve"> 4.6.3 </v>
      </c>
      <c r="C222" s="64" t="str">
        <f>PLAN!E48</f>
        <v>EXECUÇÃO DE PAVIMENTO EM PARALELEPÍPEDOS, REJUNTAMENTO COM ARGAMASSA TRAÇO 1:3 (CIMENTO E AREIA). AF_05/2020</v>
      </c>
      <c r="D222" s="63" t="s">
        <v>78</v>
      </c>
      <c r="E222" s="63" t="s">
        <v>79</v>
      </c>
      <c r="F222" s="63"/>
      <c r="G222" s="63"/>
      <c r="H222" s="63" t="s">
        <v>82</v>
      </c>
      <c r="I222" s="116" t="s">
        <v>83</v>
      </c>
    </row>
    <row r="223" spans="2:9" x14ac:dyDescent="0.2">
      <c r="B223" s="112"/>
      <c r="C223" s="87"/>
      <c r="D223" s="88"/>
      <c r="E223" s="89"/>
      <c r="F223" s="88"/>
      <c r="G223" s="89"/>
      <c r="H223" s="88"/>
      <c r="I223" s="113"/>
    </row>
    <row r="224" spans="2:9" x14ac:dyDescent="0.2">
      <c r="B224" s="112"/>
      <c r="C224" s="87"/>
      <c r="D224" s="88">
        <v>47.2</v>
      </c>
      <c r="E224" s="89">
        <v>7</v>
      </c>
      <c r="F224" s="88"/>
      <c r="G224" s="89"/>
      <c r="H224" s="88">
        <f>PRODUCT(D224:G224)</f>
        <v>330.40000000000003</v>
      </c>
      <c r="I224" s="113" t="s">
        <v>86</v>
      </c>
    </row>
    <row r="225" spans="2:9" x14ac:dyDescent="0.2">
      <c r="B225" s="112"/>
      <c r="C225" s="87"/>
      <c r="D225" s="88"/>
      <c r="E225" s="89"/>
      <c r="F225" s="88"/>
      <c r="G225" s="89"/>
      <c r="H225" s="88"/>
      <c r="I225" s="113"/>
    </row>
    <row r="226" spans="2:9" x14ac:dyDescent="0.2">
      <c r="B226" s="114"/>
      <c r="C226" s="91"/>
      <c r="D226" s="222" t="s">
        <v>82</v>
      </c>
      <c r="E226" s="222"/>
      <c r="F226" s="222"/>
      <c r="G226" s="222"/>
      <c r="H226" s="92">
        <f>SUM(H223:H225)</f>
        <v>330.40000000000003</v>
      </c>
      <c r="I226" s="115" t="str">
        <f>I224</f>
        <v>M2</v>
      </c>
    </row>
    <row r="227" spans="2:9" x14ac:dyDescent="0.2">
      <c r="B227" s="112"/>
      <c r="C227" s="87"/>
      <c r="D227" s="88"/>
      <c r="E227" s="89"/>
      <c r="F227" s="88"/>
      <c r="G227" s="89"/>
      <c r="H227" s="88"/>
      <c r="I227" s="113"/>
    </row>
    <row r="228" spans="2:9" s="4" customFormat="1" ht="25.5" x14ac:dyDescent="0.2">
      <c r="B228" s="69" t="str">
        <f>PLAN!B49</f>
        <v xml:space="preserve"> 4.6.4 </v>
      </c>
      <c r="C228" s="64" t="str">
        <f>PLAN!E49</f>
        <v>PLACA ESMALTADA PARA IDENTIFICAÇÃO NR DE RUA, DIMENSÕES 45X25CM - (SINAPI 01/2020)</v>
      </c>
      <c r="D228" s="63" t="s">
        <v>95</v>
      </c>
      <c r="E228" s="63"/>
      <c r="F228" s="63"/>
      <c r="G228" s="63"/>
      <c r="H228" s="63" t="s">
        <v>82</v>
      </c>
      <c r="I228" s="116" t="s">
        <v>83</v>
      </c>
    </row>
    <row r="229" spans="2:9" x14ac:dyDescent="0.2">
      <c r="B229" s="112"/>
      <c r="C229" s="87"/>
      <c r="D229" s="88"/>
      <c r="E229" s="89"/>
      <c r="F229" s="88"/>
      <c r="G229" s="89"/>
      <c r="H229" s="88"/>
      <c r="I229" s="113"/>
    </row>
    <row r="230" spans="2:9" x14ac:dyDescent="0.2">
      <c r="B230" s="112"/>
      <c r="C230" s="87"/>
      <c r="D230" s="88">
        <v>2</v>
      </c>
      <c r="E230" s="89"/>
      <c r="F230" s="88"/>
      <c r="G230" s="89"/>
      <c r="H230" s="88">
        <f>PRODUCT(D230:G230)</f>
        <v>2</v>
      </c>
      <c r="I230" s="113" t="s">
        <v>12</v>
      </c>
    </row>
    <row r="231" spans="2:9" x14ac:dyDescent="0.2">
      <c r="B231" s="112"/>
      <c r="C231" s="87"/>
      <c r="D231" s="88"/>
      <c r="E231" s="89"/>
      <c r="F231" s="88"/>
      <c r="G231" s="89"/>
      <c r="H231" s="88"/>
      <c r="I231" s="113"/>
    </row>
    <row r="232" spans="2:9" x14ac:dyDescent="0.2">
      <c r="B232" s="114"/>
      <c r="C232" s="91"/>
      <c r="D232" s="222" t="s">
        <v>82</v>
      </c>
      <c r="E232" s="222"/>
      <c r="F232" s="222"/>
      <c r="G232" s="222"/>
      <c r="H232" s="92">
        <f>SUM(H229:H231)</f>
        <v>2</v>
      </c>
      <c r="I232" s="115" t="str">
        <f>I230</f>
        <v>UN</v>
      </c>
    </row>
    <row r="233" spans="2:9" ht="13.5" thickBot="1" x14ac:dyDescent="0.25">
      <c r="B233" s="112"/>
      <c r="C233" s="87"/>
      <c r="D233" s="88"/>
      <c r="E233" s="89"/>
      <c r="F233" s="88"/>
      <c r="G233" s="89"/>
      <c r="H233" s="88"/>
      <c r="I233" s="113"/>
    </row>
    <row r="234" spans="2:9" x14ac:dyDescent="0.2">
      <c r="B234" s="105">
        <f>PLAN!B50</f>
        <v>5</v>
      </c>
      <c r="C234" s="106" t="str">
        <f>PLAN!E50</f>
        <v>BAIRRO NOVO HORIZONTE</v>
      </c>
      <c r="D234" s="106"/>
      <c r="E234" s="106"/>
      <c r="F234" s="106"/>
      <c r="G234" s="106"/>
      <c r="H234" s="106"/>
      <c r="I234" s="107"/>
    </row>
    <row r="235" spans="2:9" ht="25.5" x14ac:dyDescent="0.2">
      <c r="B235" s="108" t="str">
        <f>PLAN!B51</f>
        <v>5.1</v>
      </c>
      <c r="C235" s="101" t="str">
        <f>PLAN!E51</f>
        <v>TRAV. PEDRO ALVARES CABRAL/SÃO JOÃO BATISTA</v>
      </c>
      <c r="D235" s="100"/>
      <c r="E235" s="100"/>
      <c r="F235" s="100"/>
      <c r="G235" s="100"/>
      <c r="H235" s="100"/>
      <c r="I235" s="109"/>
    </row>
    <row r="236" spans="2:9" ht="25.5" x14ac:dyDescent="0.2">
      <c r="B236" s="69" t="str">
        <f>PLAN!B52</f>
        <v>5.1.1</v>
      </c>
      <c r="C236" s="64" t="str">
        <f>PLAN!E52</f>
        <v>REGULARIZAÇÃO DE SUPERFÍCIES COM MOTONIVELADORA. AF_11/2019</v>
      </c>
      <c r="D236" s="63" t="s">
        <v>78</v>
      </c>
      <c r="E236" s="63" t="s">
        <v>79</v>
      </c>
      <c r="F236" s="63"/>
      <c r="G236" s="63"/>
      <c r="H236" s="63" t="s">
        <v>82</v>
      </c>
      <c r="I236" s="116" t="s">
        <v>83</v>
      </c>
    </row>
    <row r="237" spans="2:9" x14ac:dyDescent="0.2">
      <c r="B237" s="112"/>
      <c r="C237" s="87"/>
      <c r="D237" s="88"/>
      <c r="E237" s="89"/>
      <c r="F237" s="88"/>
      <c r="G237" s="89"/>
      <c r="H237" s="88"/>
      <c r="I237" s="113"/>
    </row>
    <row r="238" spans="2:9" x14ac:dyDescent="0.2">
      <c r="B238" s="112"/>
      <c r="C238" s="87"/>
      <c r="D238" s="88">
        <v>40.200000000000003</v>
      </c>
      <c r="E238" s="89">
        <v>4.3499999999999996</v>
      </c>
      <c r="F238" s="88"/>
      <c r="G238" s="89"/>
      <c r="H238" s="88">
        <f>PRODUCT(D238:G238)</f>
        <v>174.87</v>
      </c>
      <c r="I238" s="113" t="s">
        <v>86</v>
      </c>
    </row>
    <row r="239" spans="2:9" x14ac:dyDescent="0.2">
      <c r="B239" s="112"/>
      <c r="C239" s="87"/>
      <c r="D239" s="88"/>
      <c r="E239" s="89"/>
      <c r="F239" s="88"/>
      <c r="G239" s="89"/>
      <c r="H239" s="88"/>
      <c r="I239" s="113"/>
    </row>
    <row r="240" spans="2:9" x14ac:dyDescent="0.2">
      <c r="B240" s="114"/>
      <c r="C240" s="91"/>
      <c r="D240" s="222" t="s">
        <v>82</v>
      </c>
      <c r="E240" s="222"/>
      <c r="F240" s="222"/>
      <c r="G240" s="222"/>
      <c r="H240" s="92">
        <f>SUM(H237:H239)</f>
        <v>174.87</v>
      </c>
      <c r="I240" s="115" t="str">
        <f>I238</f>
        <v>M2</v>
      </c>
    </row>
    <row r="241" spans="2:9" x14ac:dyDescent="0.2">
      <c r="B241" s="112"/>
      <c r="C241" s="87"/>
      <c r="D241" s="93"/>
      <c r="E241" s="93"/>
      <c r="F241" s="93"/>
      <c r="G241" s="93"/>
      <c r="H241" s="88"/>
      <c r="I241" s="113"/>
    </row>
    <row r="242" spans="2:9" ht="63.75" x14ac:dyDescent="0.2">
      <c r="B242" s="69" t="str">
        <f>PLAN!B53</f>
        <v>5.1.2</v>
      </c>
      <c r="C242" s="64" t="str">
        <f>PLAN!E53</f>
        <v>ASSENTAMENTO DE GUIA (MEIO-FIO) EM TRECHO RETO, CONFECCIONADA EM CONCRETO PRÉ-FABRICADO, DIMENSÕES 100X15X13X30 CM (COMPRIMENTO X BASE INFERIOR X BASE SUPERIOR X ALTURA). AF_01/2024</v>
      </c>
      <c r="D242" s="63" t="s">
        <v>78</v>
      </c>
      <c r="E242" s="63"/>
      <c r="F242" s="63" t="s">
        <v>80</v>
      </c>
      <c r="G242" s="63" t="s">
        <v>81</v>
      </c>
      <c r="H242" s="63" t="s">
        <v>82</v>
      </c>
      <c r="I242" s="116" t="s">
        <v>83</v>
      </c>
    </row>
    <row r="243" spans="2:9" x14ac:dyDescent="0.2">
      <c r="B243" s="112"/>
      <c r="C243" s="87"/>
      <c r="D243" s="88"/>
      <c r="E243" s="89"/>
      <c r="F243" s="88"/>
      <c r="G243" s="89"/>
      <c r="H243" s="88"/>
      <c r="I243" s="113"/>
    </row>
    <row r="244" spans="2:9" x14ac:dyDescent="0.2">
      <c r="B244" s="112"/>
      <c r="C244" s="87"/>
      <c r="D244" s="88">
        <v>40.200000000000003</v>
      </c>
      <c r="E244" s="89"/>
      <c r="F244" s="88">
        <v>2</v>
      </c>
      <c r="G244" s="89"/>
      <c r="H244" s="88">
        <f>PRODUCT(D244:G244)</f>
        <v>80.400000000000006</v>
      </c>
      <c r="I244" s="113" t="s">
        <v>21</v>
      </c>
    </row>
    <row r="245" spans="2:9" x14ac:dyDescent="0.2">
      <c r="B245" s="112"/>
      <c r="C245" s="87"/>
      <c r="D245" s="88"/>
      <c r="E245" s="89"/>
      <c r="F245" s="88"/>
      <c r="G245" s="89"/>
      <c r="H245" s="88"/>
      <c r="I245" s="113"/>
    </row>
    <row r="246" spans="2:9" x14ac:dyDescent="0.2">
      <c r="B246" s="114"/>
      <c r="C246" s="91"/>
      <c r="D246" s="222" t="s">
        <v>82</v>
      </c>
      <c r="E246" s="222"/>
      <c r="F246" s="222"/>
      <c r="G246" s="222"/>
      <c r="H246" s="92">
        <f>SUM(H243:H245)</f>
        <v>80.400000000000006</v>
      </c>
      <c r="I246" s="115" t="str">
        <f>I244</f>
        <v>M</v>
      </c>
    </row>
    <row r="247" spans="2:9" x14ac:dyDescent="0.2">
      <c r="B247" s="112"/>
      <c r="C247" s="87"/>
      <c r="D247" s="93"/>
      <c r="E247" s="93"/>
      <c r="F247" s="93"/>
      <c r="G247" s="93"/>
      <c r="H247" s="88"/>
      <c r="I247" s="113"/>
    </row>
    <row r="248" spans="2:9" ht="38.25" x14ac:dyDescent="0.2">
      <c r="B248" s="69" t="str">
        <f>PLAN!B54</f>
        <v>5.1.3</v>
      </c>
      <c r="C248" s="64" t="str">
        <f>PLAN!E54</f>
        <v>EXECUÇÃO DE PAVIMENTO EM PARALELEPÍPEDOS, REJUNTAMENTO COM ARGAMASSA TRAÇO 1:3 (CIMENTO E AREIA). AF_05/2020</v>
      </c>
      <c r="D248" s="63" t="s">
        <v>78</v>
      </c>
      <c r="E248" s="63" t="s">
        <v>79</v>
      </c>
      <c r="F248" s="63"/>
      <c r="G248" s="63"/>
      <c r="H248" s="63" t="s">
        <v>82</v>
      </c>
      <c r="I248" s="116" t="s">
        <v>83</v>
      </c>
    </row>
    <row r="249" spans="2:9" x14ac:dyDescent="0.2">
      <c r="B249" s="112"/>
      <c r="C249" s="87"/>
      <c r="D249" s="88"/>
      <c r="E249" s="89"/>
      <c r="F249" s="88"/>
      <c r="G249" s="89"/>
      <c r="H249" s="88"/>
      <c r="I249" s="113"/>
    </row>
    <row r="250" spans="2:9" x14ac:dyDescent="0.2">
      <c r="B250" s="112"/>
      <c r="C250" s="87"/>
      <c r="D250" s="88">
        <v>40.200000000000003</v>
      </c>
      <c r="E250" s="89">
        <v>4.3499999999999996</v>
      </c>
      <c r="F250" s="88"/>
      <c r="G250" s="89"/>
      <c r="H250" s="88">
        <f>PRODUCT(D250:G250)</f>
        <v>174.87</v>
      </c>
      <c r="I250" s="113" t="s">
        <v>86</v>
      </c>
    </row>
    <row r="251" spans="2:9" x14ac:dyDescent="0.2">
      <c r="B251" s="112"/>
      <c r="C251" s="87"/>
      <c r="D251" s="88"/>
      <c r="E251" s="89"/>
      <c r="F251" s="88"/>
      <c r="G251" s="89"/>
      <c r="H251" s="88"/>
      <c r="I251" s="113"/>
    </row>
    <row r="252" spans="2:9" x14ac:dyDescent="0.2">
      <c r="B252" s="114"/>
      <c r="C252" s="91"/>
      <c r="D252" s="222" t="s">
        <v>82</v>
      </c>
      <c r="E252" s="222"/>
      <c r="F252" s="222"/>
      <c r="G252" s="222"/>
      <c r="H252" s="92">
        <f>SUM(H249:H251)</f>
        <v>174.87</v>
      </c>
      <c r="I252" s="115" t="str">
        <f>I250</f>
        <v>M2</v>
      </c>
    </row>
    <row r="253" spans="2:9" x14ac:dyDescent="0.2">
      <c r="B253" s="112"/>
      <c r="C253" s="87"/>
      <c r="D253" s="88"/>
      <c r="E253" s="89"/>
      <c r="F253" s="88"/>
      <c r="G253" s="89"/>
      <c r="H253" s="88"/>
      <c r="I253" s="113"/>
    </row>
    <row r="254" spans="2:9" ht="25.5" x14ac:dyDescent="0.2">
      <c r="B254" s="69" t="str">
        <f>PLAN!B55</f>
        <v>5.1.4</v>
      </c>
      <c r="C254" s="64" t="str">
        <f>PLAN!E55</f>
        <v>PLACA ESMALTADA PARA IDENTIFICAÇÃO NR DE RUA, DIMENSÕES 45X25CM - (SINAPI 01/2020)</v>
      </c>
      <c r="D254" s="63" t="s">
        <v>95</v>
      </c>
      <c r="E254" s="63"/>
      <c r="F254" s="63"/>
      <c r="G254" s="63"/>
      <c r="H254" s="63" t="s">
        <v>82</v>
      </c>
      <c r="I254" s="116" t="s">
        <v>83</v>
      </c>
    </row>
    <row r="255" spans="2:9" x14ac:dyDescent="0.2">
      <c r="B255" s="112"/>
      <c r="C255" s="87"/>
      <c r="D255" s="88"/>
      <c r="E255" s="89"/>
      <c r="F255" s="88"/>
      <c r="G255" s="89"/>
      <c r="H255" s="88"/>
      <c r="I255" s="113"/>
    </row>
    <row r="256" spans="2:9" x14ac:dyDescent="0.2">
      <c r="B256" s="112"/>
      <c r="C256" s="87"/>
      <c r="D256" s="88">
        <v>2</v>
      </c>
      <c r="E256" s="89"/>
      <c r="F256" s="88"/>
      <c r="G256" s="89"/>
      <c r="H256" s="88">
        <f>PRODUCT(D256:G256)</f>
        <v>2</v>
      </c>
      <c r="I256" s="113" t="s">
        <v>12</v>
      </c>
    </row>
    <row r="257" spans="2:9" x14ac:dyDescent="0.2">
      <c r="B257" s="112"/>
      <c r="C257" s="87"/>
      <c r="D257" s="88"/>
      <c r="E257" s="89"/>
      <c r="F257" s="88"/>
      <c r="G257" s="89"/>
      <c r="H257" s="88"/>
      <c r="I257" s="113"/>
    </row>
    <row r="258" spans="2:9" x14ac:dyDescent="0.2">
      <c r="B258" s="114"/>
      <c r="C258" s="91"/>
      <c r="D258" s="222" t="s">
        <v>82</v>
      </c>
      <c r="E258" s="222"/>
      <c r="F258" s="222"/>
      <c r="G258" s="222"/>
      <c r="H258" s="92">
        <f>SUM(H255:H257)</f>
        <v>2</v>
      </c>
      <c r="I258" s="115" t="str">
        <f>I256</f>
        <v>UN</v>
      </c>
    </row>
    <row r="259" spans="2:9" x14ac:dyDescent="0.2">
      <c r="B259" s="112"/>
      <c r="C259" s="87"/>
      <c r="D259" s="88"/>
      <c r="E259" s="89"/>
      <c r="F259" s="88"/>
      <c r="G259" s="89"/>
      <c r="H259" s="88"/>
      <c r="I259" s="113"/>
    </row>
    <row r="260" spans="2:9" s="143" customFormat="1" x14ac:dyDescent="0.2">
      <c r="B260" s="108" t="str">
        <f>PLAN!B56</f>
        <v>5.2</v>
      </c>
      <c r="C260" s="101" t="str">
        <f>PLAN!E56</f>
        <v>RUA HENRIQUE DIAS</v>
      </c>
      <c r="D260" s="100"/>
      <c r="E260" s="100"/>
      <c r="F260" s="100"/>
      <c r="G260" s="100"/>
      <c r="H260" s="100"/>
      <c r="I260" s="109"/>
    </row>
    <row r="261" spans="2:9" ht="25.5" x14ac:dyDescent="0.2">
      <c r="B261" s="69" t="str">
        <f>PLAN!B57</f>
        <v>5.2.1</v>
      </c>
      <c r="C261" s="64" t="str">
        <f>PLAN!E57</f>
        <v>REGULARIZAÇÃO DE SUPERFÍCIES COM MOTONIVELADORA. AF_11/2019</v>
      </c>
      <c r="D261" s="63" t="s">
        <v>78</v>
      </c>
      <c r="E261" s="63" t="s">
        <v>79</v>
      </c>
      <c r="F261" s="63"/>
      <c r="G261" s="63"/>
      <c r="H261" s="63" t="s">
        <v>82</v>
      </c>
      <c r="I261" s="116" t="s">
        <v>83</v>
      </c>
    </row>
    <row r="262" spans="2:9" x14ac:dyDescent="0.2">
      <c r="B262" s="112"/>
      <c r="C262" s="87"/>
      <c r="D262" s="88"/>
      <c r="E262" s="89"/>
      <c r="F262" s="88"/>
      <c r="G262" s="89"/>
      <c r="H262" s="88"/>
      <c r="I262" s="113"/>
    </row>
    <row r="263" spans="2:9" x14ac:dyDescent="0.2">
      <c r="B263" s="112"/>
      <c r="C263" s="87"/>
      <c r="D263" s="88">
        <v>42.4</v>
      </c>
      <c r="E263" s="89">
        <v>7</v>
      </c>
      <c r="F263" s="88"/>
      <c r="G263" s="89"/>
      <c r="H263" s="88">
        <f>PRODUCT(D263:G263)</f>
        <v>296.8</v>
      </c>
      <c r="I263" s="113" t="s">
        <v>86</v>
      </c>
    </row>
    <row r="264" spans="2:9" x14ac:dyDescent="0.2">
      <c r="B264" s="112"/>
      <c r="C264" s="87"/>
      <c r="D264" s="88"/>
      <c r="E264" s="89"/>
      <c r="F264" s="88"/>
      <c r="G264" s="89"/>
      <c r="H264" s="88"/>
      <c r="I264" s="113"/>
    </row>
    <row r="265" spans="2:9" x14ac:dyDescent="0.2">
      <c r="B265" s="114"/>
      <c r="C265" s="91"/>
      <c r="D265" s="222" t="s">
        <v>82</v>
      </c>
      <c r="E265" s="222"/>
      <c r="F265" s="222"/>
      <c r="G265" s="222"/>
      <c r="H265" s="92">
        <f>SUM(H262:H264)</f>
        <v>296.8</v>
      </c>
      <c r="I265" s="115" t="str">
        <f>I263</f>
        <v>M2</v>
      </c>
    </row>
    <row r="266" spans="2:9" x14ac:dyDescent="0.2">
      <c r="B266" s="112"/>
      <c r="C266" s="87"/>
      <c r="D266" s="93"/>
      <c r="E266" s="93"/>
      <c r="F266" s="93"/>
      <c r="G266" s="93"/>
      <c r="H266" s="88"/>
      <c r="I266" s="113"/>
    </row>
    <row r="267" spans="2:9" ht="63.75" x14ac:dyDescent="0.2">
      <c r="B267" s="69" t="str">
        <f>PLAN!B58</f>
        <v>5.2.2</v>
      </c>
      <c r="C267" s="64" t="str">
        <f>PLAN!E58</f>
        <v>ASSENTAMENTO DE GUIA (MEIO-FIO) EM TRECHO RETO, CONFECCIONADA EM CONCRETO PRÉ-FABRICADO, DIMENSÕES 100X15X13X30 CM (COMPRIMENTO X BASE INFERIOR X BASE SUPERIOR X ALTURA). AF_01/2024</v>
      </c>
      <c r="D267" s="63" t="s">
        <v>78</v>
      </c>
      <c r="E267" s="63"/>
      <c r="F267" s="63" t="s">
        <v>80</v>
      </c>
      <c r="G267" s="63" t="s">
        <v>81</v>
      </c>
      <c r="H267" s="63" t="s">
        <v>82</v>
      </c>
      <c r="I267" s="116" t="s">
        <v>83</v>
      </c>
    </row>
    <row r="268" spans="2:9" x14ac:dyDescent="0.2">
      <c r="B268" s="112"/>
      <c r="C268" s="87"/>
      <c r="D268" s="88"/>
      <c r="E268" s="89"/>
      <c r="F268" s="88"/>
      <c r="G268" s="89"/>
      <c r="H268" s="88"/>
      <c r="I268" s="113"/>
    </row>
    <row r="269" spans="2:9" x14ac:dyDescent="0.2">
      <c r="B269" s="112"/>
      <c r="C269" s="87"/>
      <c r="D269" s="88">
        <v>42.4</v>
      </c>
      <c r="E269" s="89"/>
      <c r="F269" s="88">
        <v>2</v>
      </c>
      <c r="G269" s="89"/>
      <c r="H269" s="88">
        <f>PRODUCT(D269:G269)</f>
        <v>84.8</v>
      </c>
      <c r="I269" s="113" t="s">
        <v>21</v>
      </c>
    </row>
    <row r="270" spans="2:9" x14ac:dyDescent="0.2">
      <c r="B270" s="112"/>
      <c r="C270" s="87"/>
      <c r="D270" s="88"/>
      <c r="E270" s="89"/>
      <c r="F270" s="88"/>
      <c r="G270" s="89"/>
      <c r="H270" s="88"/>
      <c r="I270" s="113"/>
    </row>
    <row r="271" spans="2:9" x14ac:dyDescent="0.2">
      <c r="B271" s="114"/>
      <c r="C271" s="91"/>
      <c r="D271" s="222" t="s">
        <v>82</v>
      </c>
      <c r="E271" s="222"/>
      <c r="F271" s="222"/>
      <c r="G271" s="222"/>
      <c r="H271" s="92">
        <f>SUM(H268:H270)</f>
        <v>84.8</v>
      </c>
      <c r="I271" s="115" t="str">
        <f>I269</f>
        <v>M</v>
      </c>
    </row>
    <row r="272" spans="2:9" x14ac:dyDescent="0.2">
      <c r="B272" s="112"/>
      <c r="C272" s="87"/>
      <c r="D272" s="93"/>
      <c r="E272" s="93"/>
      <c r="F272" s="93"/>
      <c r="G272" s="93"/>
      <c r="H272" s="88"/>
      <c r="I272" s="113"/>
    </row>
    <row r="273" spans="2:9" ht="38.25" x14ac:dyDescent="0.2">
      <c r="B273" s="69" t="str">
        <f>PLAN!B59</f>
        <v>5.2.3</v>
      </c>
      <c r="C273" s="64" t="str">
        <f>PLAN!E59</f>
        <v>EXECUÇÃO DE PAVIMENTO EM PARALELEPÍPEDOS, REJUNTAMENTO COM ARGAMASSA TRAÇO 1:3 (CIMENTO E AREIA). AF_05/2020</v>
      </c>
      <c r="D273" s="63" t="s">
        <v>78</v>
      </c>
      <c r="E273" s="63" t="s">
        <v>79</v>
      </c>
      <c r="F273" s="63"/>
      <c r="G273" s="63"/>
      <c r="H273" s="63" t="s">
        <v>82</v>
      </c>
      <c r="I273" s="116" t="s">
        <v>83</v>
      </c>
    </row>
    <row r="274" spans="2:9" x14ac:dyDescent="0.2">
      <c r="B274" s="112"/>
      <c r="C274" s="87"/>
      <c r="D274" s="88"/>
      <c r="E274" s="89"/>
      <c r="F274" s="88"/>
      <c r="G274" s="89"/>
      <c r="H274" s="88"/>
      <c r="I274" s="113"/>
    </row>
    <row r="275" spans="2:9" x14ac:dyDescent="0.2">
      <c r="B275" s="112"/>
      <c r="C275" s="87"/>
      <c r="D275" s="88">
        <v>42.4</v>
      </c>
      <c r="E275" s="89">
        <v>7</v>
      </c>
      <c r="F275" s="88"/>
      <c r="G275" s="89"/>
      <c r="H275" s="88">
        <f>PRODUCT(D275:G275)</f>
        <v>296.8</v>
      </c>
      <c r="I275" s="113" t="s">
        <v>86</v>
      </c>
    </row>
    <row r="276" spans="2:9" x14ac:dyDescent="0.2">
      <c r="B276" s="112"/>
      <c r="C276" s="87"/>
      <c r="D276" s="88"/>
      <c r="E276" s="89"/>
      <c r="F276" s="88"/>
      <c r="G276" s="89"/>
      <c r="H276" s="88"/>
      <c r="I276" s="113"/>
    </row>
    <row r="277" spans="2:9" x14ac:dyDescent="0.2">
      <c r="B277" s="114"/>
      <c r="C277" s="91"/>
      <c r="D277" s="222" t="s">
        <v>82</v>
      </c>
      <c r="E277" s="222"/>
      <c r="F277" s="222"/>
      <c r="G277" s="222"/>
      <c r="H277" s="92">
        <f>SUM(H274:H276)</f>
        <v>296.8</v>
      </c>
      <c r="I277" s="115" t="str">
        <f>I275</f>
        <v>M2</v>
      </c>
    </row>
    <row r="278" spans="2:9" x14ac:dyDescent="0.2">
      <c r="B278" s="112"/>
      <c r="C278" s="87"/>
      <c r="D278" s="88"/>
      <c r="E278" s="89"/>
      <c r="F278" s="88"/>
      <c r="G278" s="89"/>
      <c r="H278" s="88"/>
      <c r="I278" s="113"/>
    </row>
    <row r="279" spans="2:9" ht="25.5" x14ac:dyDescent="0.2">
      <c r="B279" s="69" t="str">
        <f>PLAN!B60</f>
        <v>5.2.4</v>
      </c>
      <c r="C279" s="64" t="str">
        <f>PLAN!E60</f>
        <v>PLACA ESMALTADA PARA IDENTIFICAÇÃO NR DE RUA, DIMENSÕES 45X25CM - (SINAPI 01/2020)</v>
      </c>
      <c r="D279" s="63" t="s">
        <v>95</v>
      </c>
      <c r="E279" s="63"/>
      <c r="F279" s="63"/>
      <c r="G279" s="63"/>
      <c r="H279" s="63" t="s">
        <v>82</v>
      </c>
      <c r="I279" s="116" t="s">
        <v>83</v>
      </c>
    </row>
    <row r="280" spans="2:9" x14ac:dyDescent="0.2">
      <c r="B280" s="112"/>
      <c r="C280" s="87"/>
      <c r="D280" s="88"/>
      <c r="E280" s="89"/>
      <c r="F280" s="88"/>
      <c r="G280" s="89"/>
      <c r="H280" s="88"/>
      <c r="I280" s="113"/>
    </row>
    <row r="281" spans="2:9" x14ac:dyDescent="0.2">
      <c r="B281" s="112"/>
      <c r="C281" s="87"/>
      <c r="D281" s="88">
        <v>2</v>
      </c>
      <c r="E281" s="89"/>
      <c r="F281" s="88"/>
      <c r="G281" s="89"/>
      <c r="H281" s="88">
        <f>PRODUCT(D281:G281)</f>
        <v>2</v>
      </c>
      <c r="I281" s="113" t="s">
        <v>12</v>
      </c>
    </row>
    <row r="282" spans="2:9" x14ac:dyDescent="0.2">
      <c r="B282" s="112"/>
      <c r="C282" s="87"/>
      <c r="D282" s="88"/>
      <c r="E282" s="89"/>
      <c r="F282" s="88"/>
      <c r="G282" s="89"/>
      <c r="H282" s="88"/>
      <c r="I282" s="113"/>
    </row>
    <row r="283" spans="2:9" x14ac:dyDescent="0.2">
      <c r="B283" s="114"/>
      <c r="C283" s="91"/>
      <c r="D283" s="222" t="s">
        <v>82</v>
      </c>
      <c r="E283" s="222"/>
      <c r="F283" s="222"/>
      <c r="G283" s="222"/>
      <c r="H283" s="92">
        <f>SUM(H280:H282)</f>
        <v>2</v>
      </c>
      <c r="I283" s="115" t="str">
        <f>I281</f>
        <v>UN</v>
      </c>
    </row>
    <row r="284" spans="2:9" x14ac:dyDescent="0.2">
      <c r="B284" s="112"/>
      <c r="C284" s="87"/>
      <c r="D284" s="88"/>
      <c r="E284" s="89"/>
      <c r="F284" s="88"/>
      <c r="G284" s="89"/>
      <c r="H284" s="88"/>
      <c r="I284" s="113"/>
    </row>
    <row r="285" spans="2:9" x14ac:dyDescent="0.2">
      <c r="B285" s="108">
        <f>PLAN!B61</f>
        <v>6</v>
      </c>
      <c r="C285" s="101" t="str">
        <f>PLAN!E61</f>
        <v>BAIRRO MARIA JOSEFA</v>
      </c>
      <c r="D285" s="100"/>
      <c r="E285" s="100"/>
      <c r="F285" s="100"/>
      <c r="G285" s="100"/>
      <c r="H285" s="100"/>
      <c r="I285" s="109"/>
    </row>
    <row r="286" spans="2:9" x14ac:dyDescent="0.2">
      <c r="B286" s="108" t="str">
        <f>PLAN!B62</f>
        <v>6.1</v>
      </c>
      <c r="C286" s="101" t="str">
        <f>PLAN!E62</f>
        <v>RUA PROJETADA "C"</v>
      </c>
      <c r="D286" s="100"/>
      <c r="E286" s="100"/>
      <c r="F286" s="100"/>
      <c r="G286" s="100"/>
      <c r="H286" s="100"/>
      <c r="I286" s="109"/>
    </row>
    <row r="287" spans="2:9" ht="25.5" x14ac:dyDescent="0.2">
      <c r="B287" s="69" t="str">
        <f>PLAN!B63</f>
        <v>6.1.1</v>
      </c>
      <c r="C287" s="64" t="str">
        <f>PLAN!E63</f>
        <v>REGULARIZAÇÃO DE SUPERFÍCIES COM MOTONIVELADORA. AF_11/2019</v>
      </c>
      <c r="D287" s="63" t="s">
        <v>78</v>
      </c>
      <c r="E287" s="63" t="s">
        <v>79</v>
      </c>
      <c r="F287" s="63"/>
      <c r="G287" s="63"/>
      <c r="H287" s="63" t="s">
        <v>82</v>
      </c>
      <c r="I287" s="116" t="s">
        <v>83</v>
      </c>
    </row>
    <row r="288" spans="2:9" x14ac:dyDescent="0.2">
      <c r="B288" s="112"/>
      <c r="C288" s="87"/>
      <c r="D288" s="88"/>
      <c r="E288" s="89"/>
      <c r="F288" s="88"/>
      <c r="G288" s="89"/>
      <c r="H288" s="88"/>
      <c r="I288" s="113"/>
    </row>
    <row r="289" spans="2:9" x14ac:dyDescent="0.2">
      <c r="B289" s="112"/>
      <c r="C289" s="87"/>
      <c r="D289" s="88">
        <v>50.8</v>
      </c>
      <c r="E289" s="89">
        <v>7</v>
      </c>
      <c r="F289" s="88"/>
      <c r="G289" s="89"/>
      <c r="H289" s="88">
        <f>PRODUCT(D289:G289)</f>
        <v>355.59999999999997</v>
      </c>
      <c r="I289" s="113" t="s">
        <v>86</v>
      </c>
    </row>
    <row r="290" spans="2:9" x14ac:dyDescent="0.2">
      <c r="B290" s="112"/>
      <c r="C290" s="87"/>
      <c r="D290" s="88"/>
      <c r="E290" s="89"/>
      <c r="F290" s="88"/>
      <c r="G290" s="89"/>
      <c r="H290" s="88"/>
      <c r="I290" s="113"/>
    </row>
    <row r="291" spans="2:9" x14ac:dyDescent="0.2">
      <c r="B291" s="114"/>
      <c r="C291" s="91"/>
      <c r="D291" s="222" t="s">
        <v>82</v>
      </c>
      <c r="E291" s="222"/>
      <c r="F291" s="222"/>
      <c r="G291" s="222"/>
      <c r="H291" s="92">
        <f>SUM(H288:H290)</f>
        <v>355.59999999999997</v>
      </c>
      <c r="I291" s="115" t="str">
        <f>I289</f>
        <v>M2</v>
      </c>
    </row>
    <row r="292" spans="2:9" x14ac:dyDescent="0.2">
      <c r="B292" s="112"/>
      <c r="C292" s="87"/>
      <c r="D292" s="93"/>
      <c r="E292" s="93"/>
      <c r="F292" s="93"/>
      <c r="G292" s="93"/>
      <c r="H292" s="88"/>
      <c r="I292" s="113"/>
    </row>
    <row r="293" spans="2:9" ht="63.75" x14ac:dyDescent="0.2">
      <c r="B293" s="69" t="str">
        <f>PLAN!B64</f>
        <v>6.1.2</v>
      </c>
      <c r="C293" s="64" t="str">
        <f>PLAN!E64</f>
        <v>ASSENTAMENTO DE GUIA (MEIO-FIO) EM TRECHO RETO, CONFECCIONADA EM CONCRETO PRÉ-FABRICADO, DIMENSÕES 100X15X13X30 CM (COMPRIMENTO X BASE INFERIOR X BASE SUPERIOR X ALTURA). AF_01/2024</v>
      </c>
      <c r="D293" s="63" t="s">
        <v>78</v>
      </c>
      <c r="E293" s="63"/>
      <c r="F293" s="63" t="s">
        <v>80</v>
      </c>
      <c r="G293" s="63" t="s">
        <v>81</v>
      </c>
      <c r="H293" s="63" t="s">
        <v>82</v>
      </c>
      <c r="I293" s="116" t="s">
        <v>83</v>
      </c>
    </row>
    <row r="294" spans="2:9" x14ac:dyDescent="0.2">
      <c r="B294" s="112"/>
      <c r="C294" s="87"/>
      <c r="D294" s="88"/>
      <c r="E294" s="89"/>
      <c r="F294" s="88"/>
      <c r="G294" s="89"/>
      <c r="H294" s="88"/>
      <c r="I294" s="113"/>
    </row>
    <row r="295" spans="2:9" x14ac:dyDescent="0.2">
      <c r="B295" s="112"/>
      <c r="C295" s="87"/>
      <c r="D295" s="88">
        <v>50.8</v>
      </c>
      <c r="E295" s="89"/>
      <c r="F295" s="88">
        <v>2</v>
      </c>
      <c r="G295" s="89"/>
      <c r="H295" s="88">
        <f>PRODUCT(D295:G295)</f>
        <v>101.6</v>
      </c>
      <c r="I295" s="113" t="s">
        <v>21</v>
      </c>
    </row>
    <row r="296" spans="2:9" x14ac:dyDescent="0.2">
      <c r="B296" s="112"/>
      <c r="C296" s="87"/>
      <c r="D296" s="88"/>
      <c r="E296" s="89"/>
      <c r="F296" s="88"/>
      <c r="G296" s="89"/>
      <c r="H296" s="88"/>
      <c r="I296" s="113"/>
    </row>
    <row r="297" spans="2:9" x14ac:dyDescent="0.2">
      <c r="B297" s="114"/>
      <c r="C297" s="91"/>
      <c r="D297" s="222" t="s">
        <v>82</v>
      </c>
      <c r="E297" s="222"/>
      <c r="F297" s="222"/>
      <c r="G297" s="222"/>
      <c r="H297" s="92">
        <f>SUM(H294:H296)</f>
        <v>101.6</v>
      </c>
      <c r="I297" s="115" t="str">
        <f>I295</f>
        <v>M</v>
      </c>
    </row>
    <row r="298" spans="2:9" x14ac:dyDescent="0.2">
      <c r="B298" s="112"/>
      <c r="C298" s="87"/>
      <c r="D298" s="93"/>
      <c r="E298" s="93"/>
      <c r="F298" s="93"/>
      <c r="G298" s="93"/>
      <c r="H298" s="88"/>
      <c r="I298" s="113"/>
    </row>
    <row r="299" spans="2:9" ht="38.25" x14ac:dyDescent="0.2">
      <c r="B299" s="69" t="str">
        <f>PLAN!B65</f>
        <v>6.1.3</v>
      </c>
      <c r="C299" s="64" t="str">
        <f>PLAN!E65</f>
        <v>EXECUÇÃO DE PAVIMENTO EM PARALELEPÍPEDOS, REJUNTAMENTO COM ARGAMASSA TRAÇO 1:3 (CIMENTO E AREIA). AF_05/2020</v>
      </c>
      <c r="D299" s="63" t="s">
        <v>78</v>
      </c>
      <c r="E299" s="63" t="s">
        <v>79</v>
      </c>
      <c r="F299" s="63"/>
      <c r="G299" s="63"/>
      <c r="H299" s="63" t="s">
        <v>82</v>
      </c>
      <c r="I299" s="116" t="s">
        <v>83</v>
      </c>
    </row>
    <row r="300" spans="2:9" x14ac:dyDescent="0.2">
      <c r="B300" s="112"/>
      <c r="C300" s="87"/>
      <c r="D300" s="88"/>
      <c r="E300" s="89"/>
      <c r="F300" s="88"/>
      <c r="G300" s="89"/>
      <c r="H300" s="88"/>
      <c r="I300" s="113"/>
    </row>
    <row r="301" spans="2:9" x14ac:dyDescent="0.2">
      <c r="B301" s="112"/>
      <c r="C301" s="87"/>
      <c r="D301" s="88">
        <v>50.8</v>
      </c>
      <c r="E301" s="89">
        <v>7</v>
      </c>
      <c r="F301" s="88"/>
      <c r="G301" s="89"/>
      <c r="H301" s="88">
        <f>PRODUCT(D301:G301)</f>
        <v>355.59999999999997</v>
      </c>
      <c r="I301" s="113" t="s">
        <v>86</v>
      </c>
    </row>
    <row r="302" spans="2:9" x14ac:dyDescent="0.2">
      <c r="B302" s="112"/>
      <c r="C302" s="87"/>
      <c r="D302" s="88"/>
      <c r="E302" s="89"/>
      <c r="F302" s="88"/>
      <c r="G302" s="89"/>
      <c r="H302" s="88"/>
      <c r="I302" s="113"/>
    </row>
    <row r="303" spans="2:9" x14ac:dyDescent="0.2">
      <c r="B303" s="114"/>
      <c r="C303" s="91"/>
      <c r="D303" s="222" t="s">
        <v>82</v>
      </c>
      <c r="E303" s="222"/>
      <c r="F303" s="222"/>
      <c r="G303" s="222"/>
      <c r="H303" s="92">
        <f>SUM(H300:H302)</f>
        <v>355.59999999999997</v>
      </c>
      <c r="I303" s="115" t="str">
        <f>I301</f>
        <v>M2</v>
      </c>
    </row>
    <row r="304" spans="2:9" x14ac:dyDescent="0.2">
      <c r="B304" s="112"/>
      <c r="C304" s="87"/>
      <c r="D304" s="88"/>
      <c r="E304" s="89"/>
      <c r="F304" s="88"/>
      <c r="G304" s="89"/>
      <c r="H304" s="88"/>
      <c r="I304" s="113"/>
    </row>
    <row r="305" spans="2:9" ht="25.5" x14ac:dyDescent="0.2">
      <c r="B305" s="69" t="str">
        <f>PLAN!B66</f>
        <v>6.1.4</v>
      </c>
      <c r="C305" s="64" t="str">
        <f>PLAN!E66</f>
        <v>PLACA ESMALTADA PARA IDENTIFICAÇÃO NR DE RUA, DIMENSÕES 45X25CM - (SINAPI 01/2020)</v>
      </c>
      <c r="D305" s="63" t="s">
        <v>95</v>
      </c>
      <c r="E305" s="63"/>
      <c r="F305" s="63"/>
      <c r="G305" s="63"/>
      <c r="H305" s="63" t="s">
        <v>82</v>
      </c>
      <c r="I305" s="116" t="s">
        <v>83</v>
      </c>
    </row>
    <row r="306" spans="2:9" x14ac:dyDescent="0.2">
      <c r="B306" s="112"/>
      <c r="C306" s="87"/>
      <c r="D306" s="88"/>
      <c r="E306" s="89"/>
      <c r="F306" s="88"/>
      <c r="G306" s="89"/>
      <c r="H306" s="88"/>
      <c r="I306" s="113"/>
    </row>
    <row r="307" spans="2:9" x14ac:dyDescent="0.2">
      <c r="B307" s="112"/>
      <c r="C307" s="87"/>
      <c r="D307" s="88">
        <v>2</v>
      </c>
      <c r="E307" s="89"/>
      <c r="F307" s="88"/>
      <c r="G307" s="89"/>
      <c r="H307" s="88">
        <f>PRODUCT(D307:G307)</f>
        <v>2</v>
      </c>
      <c r="I307" s="113" t="s">
        <v>12</v>
      </c>
    </row>
    <row r="308" spans="2:9" x14ac:dyDescent="0.2">
      <c r="B308" s="112"/>
      <c r="C308" s="87"/>
      <c r="D308" s="88"/>
      <c r="E308" s="89"/>
      <c r="F308" s="88"/>
      <c r="G308" s="89"/>
      <c r="H308" s="88"/>
      <c r="I308" s="113"/>
    </row>
    <row r="309" spans="2:9" x14ac:dyDescent="0.2">
      <c r="B309" s="114"/>
      <c r="C309" s="91"/>
      <c r="D309" s="222" t="s">
        <v>82</v>
      </c>
      <c r="E309" s="222"/>
      <c r="F309" s="222"/>
      <c r="G309" s="222"/>
      <c r="H309" s="92">
        <f>SUM(H306:H308)</f>
        <v>2</v>
      </c>
      <c r="I309" s="115" t="str">
        <f>I307</f>
        <v>UN</v>
      </c>
    </row>
    <row r="310" spans="2:9" x14ac:dyDescent="0.2">
      <c r="B310" s="112"/>
      <c r="C310" s="87"/>
      <c r="D310" s="88"/>
      <c r="E310" s="89"/>
      <c r="F310" s="88"/>
      <c r="G310" s="89"/>
      <c r="H310" s="88"/>
      <c r="I310" s="113"/>
    </row>
    <row r="311" spans="2:9" x14ac:dyDescent="0.2">
      <c r="B311" s="108" t="str">
        <f>PLAN!B67</f>
        <v>6.2</v>
      </c>
      <c r="C311" s="101" t="str">
        <f>PLAN!E67</f>
        <v>RUA PROJETADA "I"</v>
      </c>
      <c r="D311" s="100"/>
      <c r="E311" s="100"/>
      <c r="F311" s="100"/>
      <c r="G311" s="100"/>
      <c r="H311" s="100"/>
      <c r="I311" s="109"/>
    </row>
    <row r="312" spans="2:9" ht="25.5" x14ac:dyDescent="0.2">
      <c r="B312" s="69" t="str">
        <f>PLAN!B68</f>
        <v>6.2.1</v>
      </c>
      <c r="C312" s="64" t="str">
        <f>PLAN!E68</f>
        <v>REGULARIZAÇÃO DE SUPERFÍCIES COM MOTONIVELADORA. AF_11/2019</v>
      </c>
      <c r="D312" s="63" t="s">
        <v>78</v>
      </c>
      <c r="E312" s="63" t="s">
        <v>79</v>
      </c>
      <c r="F312" s="63"/>
      <c r="G312" s="63"/>
      <c r="H312" s="63" t="s">
        <v>82</v>
      </c>
      <c r="I312" s="116" t="s">
        <v>83</v>
      </c>
    </row>
    <row r="313" spans="2:9" x14ac:dyDescent="0.2">
      <c r="B313" s="112"/>
      <c r="C313" s="87"/>
      <c r="D313" s="88"/>
      <c r="E313" s="89"/>
      <c r="F313" s="88"/>
      <c r="G313" s="89"/>
      <c r="H313" s="88"/>
      <c r="I313" s="113"/>
    </row>
    <row r="314" spans="2:9" x14ac:dyDescent="0.2">
      <c r="B314" s="112"/>
      <c r="C314" s="87"/>
      <c r="D314" s="88">
        <f>50+35.8</f>
        <v>85.8</v>
      </c>
      <c r="E314" s="89">
        <v>7</v>
      </c>
      <c r="F314" s="88"/>
      <c r="G314" s="89"/>
      <c r="H314" s="88">
        <f>PRODUCT(D314:G314)</f>
        <v>600.6</v>
      </c>
      <c r="I314" s="113" t="s">
        <v>86</v>
      </c>
    </row>
    <row r="315" spans="2:9" x14ac:dyDescent="0.2">
      <c r="B315" s="112"/>
      <c r="C315" s="87"/>
      <c r="D315" s="88"/>
      <c r="E315" s="89"/>
      <c r="F315" s="88"/>
      <c r="G315" s="89"/>
      <c r="H315" s="88"/>
      <c r="I315" s="113"/>
    </row>
    <row r="316" spans="2:9" x14ac:dyDescent="0.2">
      <c r="B316" s="114"/>
      <c r="C316" s="91"/>
      <c r="D316" s="222" t="s">
        <v>82</v>
      </c>
      <c r="E316" s="222"/>
      <c r="F316" s="222"/>
      <c r="G316" s="222"/>
      <c r="H316" s="92">
        <f>SUM(H313:H315)</f>
        <v>600.6</v>
      </c>
      <c r="I316" s="115" t="str">
        <f>I314</f>
        <v>M2</v>
      </c>
    </row>
    <row r="317" spans="2:9" x14ac:dyDescent="0.2">
      <c r="B317" s="112"/>
      <c r="C317" s="87"/>
      <c r="D317" s="93"/>
      <c r="E317" s="93"/>
      <c r="F317" s="93"/>
      <c r="G317" s="93"/>
      <c r="H317" s="88"/>
      <c r="I317" s="113"/>
    </row>
    <row r="318" spans="2:9" ht="63.75" x14ac:dyDescent="0.2">
      <c r="B318" s="69" t="str">
        <f>PLAN!B69</f>
        <v>6.2.2</v>
      </c>
      <c r="C318" s="64" t="str">
        <f>PLAN!E69</f>
        <v>ASSENTAMENTO DE GUIA (MEIO-FIO) EM TRECHO RETO, CONFECCIONADA EM CONCRETO PRÉ-FABRICADO, DIMENSÕES 100X15X13X30 CM (COMPRIMENTO X BASE INFERIOR X BASE SUPERIOR X ALTURA). AF_01/2024</v>
      </c>
      <c r="D318" s="63" t="s">
        <v>78</v>
      </c>
      <c r="E318" s="63"/>
      <c r="F318" s="63" t="s">
        <v>80</v>
      </c>
      <c r="G318" s="63" t="s">
        <v>81</v>
      </c>
      <c r="H318" s="63" t="s">
        <v>82</v>
      </c>
      <c r="I318" s="116" t="s">
        <v>83</v>
      </c>
    </row>
    <row r="319" spans="2:9" x14ac:dyDescent="0.2">
      <c r="B319" s="112"/>
      <c r="C319" s="87"/>
      <c r="D319" s="88"/>
      <c r="E319" s="89"/>
      <c r="F319" s="88"/>
      <c r="G319" s="89"/>
      <c r="H319" s="88"/>
      <c r="I319" s="113"/>
    </row>
    <row r="320" spans="2:9" x14ac:dyDescent="0.2">
      <c r="B320" s="112"/>
      <c r="C320" s="87"/>
      <c r="D320" s="88">
        <v>85.8</v>
      </c>
      <c r="E320" s="89"/>
      <c r="F320" s="88"/>
      <c r="G320" s="89"/>
      <c r="H320" s="88">
        <f>PRODUCT(D320:G320)</f>
        <v>85.8</v>
      </c>
      <c r="I320" s="113" t="s">
        <v>21</v>
      </c>
    </row>
    <row r="321" spans="2:9" x14ac:dyDescent="0.2">
      <c r="B321" s="112"/>
      <c r="C321" s="87"/>
      <c r="D321" s="88"/>
      <c r="E321" s="89"/>
      <c r="F321" s="88"/>
      <c r="G321" s="89"/>
      <c r="H321" s="88"/>
      <c r="I321" s="113"/>
    </row>
    <row r="322" spans="2:9" x14ac:dyDescent="0.2">
      <c r="B322" s="114"/>
      <c r="C322" s="91"/>
      <c r="D322" s="222" t="s">
        <v>82</v>
      </c>
      <c r="E322" s="222"/>
      <c r="F322" s="222"/>
      <c r="G322" s="222"/>
      <c r="H322" s="92">
        <f>SUM(H319:H321)</f>
        <v>85.8</v>
      </c>
      <c r="I322" s="115" t="str">
        <f>I320</f>
        <v>M</v>
      </c>
    </row>
    <row r="323" spans="2:9" x14ac:dyDescent="0.2">
      <c r="B323" s="112"/>
      <c r="C323" s="87"/>
      <c r="D323" s="93"/>
      <c r="E323" s="93"/>
      <c r="F323" s="93"/>
      <c r="G323" s="93"/>
      <c r="H323" s="88"/>
      <c r="I323" s="113"/>
    </row>
    <row r="324" spans="2:9" ht="38.25" x14ac:dyDescent="0.2">
      <c r="B324" s="69" t="str">
        <f>PLAN!B70</f>
        <v>6.2.3</v>
      </c>
      <c r="C324" s="64" t="str">
        <f>PLAN!E70</f>
        <v>EXECUÇÃO DE PAVIMENTO EM PARALELEPÍPEDOS, REJUNTAMENTO COM ARGAMASSA TRAÇO 1:3 (CIMENTO E AREIA). AF_05/2020</v>
      </c>
      <c r="D324" s="63" t="s">
        <v>78</v>
      </c>
      <c r="E324" s="63" t="s">
        <v>79</v>
      </c>
      <c r="F324" s="63"/>
      <c r="G324" s="63"/>
      <c r="H324" s="63" t="s">
        <v>82</v>
      </c>
      <c r="I324" s="116" t="s">
        <v>83</v>
      </c>
    </row>
    <row r="325" spans="2:9" x14ac:dyDescent="0.2">
      <c r="B325" s="112"/>
      <c r="C325" s="87"/>
      <c r="D325" s="88"/>
      <c r="E325" s="89"/>
      <c r="F325" s="88"/>
      <c r="G325" s="89"/>
      <c r="H325" s="88"/>
      <c r="I325" s="113"/>
    </row>
    <row r="326" spans="2:9" x14ac:dyDescent="0.2">
      <c r="B326" s="112"/>
      <c r="C326" s="87"/>
      <c r="D326" s="88">
        <v>85.8</v>
      </c>
      <c r="E326" s="89">
        <v>7</v>
      </c>
      <c r="F326" s="88"/>
      <c r="G326" s="89"/>
      <c r="H326" s="88">
        <f>PRODUCT(D326:G326)</f>
        <v>600.6</v>
      </c>
      <c r="I326" s="113" t="s">
        <v>86</v>
      </c>
    </row>
    <row r="327" spans="2:9" x14ac:dyDescent="0.2">
      <c r="B327" s="112"/>
      <c r="C327" s="87"/>
      <c r="D327" s="88"/>
      <c r="E327" s="89"/>
      <c r="F327" s="88"/>
      <c r="G327" s="89"/>
      <c r="H327" s="88"/>
      <c r="I327" s="113"/>
    </row>
    <row r="328" spans="2:9" x14ac:dyDescent="0.2">
      <c r="B328" s="114"/>
      <c r="C328" s="91"/>
      <c r="D328" s="222" t="s">
        <v>82</v>
      </c>
      <c r="E328" s="222"/>
      <c r="F328" s="222"/>
      <c r="G328" s="222"/>
      <c r="H328" s="92">
        <f>SUM(H325:H327)</f>
        <v>600.6</v>
      </c>
      <c r="I328" s="115" t="str">
        <f>I326</f>
        <v>M2</v>
      </c>
    </row>
    <row r="329" spans="2:9" x14ac:dyDescent="0.2">
      <c r="B329" s="112"/>
      <c r="C329" s="87"/>
      <c r="D329" s="88"/>
      <c r="E329" s="89"/>
      <c r="F329" s="88"/>
      <c r="G329" s="89"/>
      <c r="H329" s="88"/>
      <c r="I329" s="113"/>
    </row>
    <row r="330" spans="2:9" ht="25.5" x14ac:dyDescent="0.2">
      <c r="B330" s="69" t="str">
        <f>PLAN!B71</f>
        <v>6.2.4</v>
      </c>
      <c r="C330" s="64" t="str">
        <f>PLAN!E71</f>
        <v>PLACA ESMALTADA PARA IDENTIFICAÇÃO NR DE RUA, DIMENSÕES 45X25CM - (SINAPI 01/2020)</v>
      </c>
      <c r="D330" s="63" t="s">
        <v>95</v>
      </c>
      <c r="E330" s="63"/>
      <c r="F330" s="63"/>
      <c r="G330" s="63"/>
      <c r="H330" s="63" t="s">
        <v>82</v>
      </c>
      <c r="I330" s="116" t="s">
        <v>83</v>
      </c>
    </row>
    <row r="331" spans="2:9" x14ac:dyDescent="0.2">
      <c r="B331" s="112"/>
      <c r="C331" s="87"/>
      <c r="D331" s="88"/>
      <c r="E331" s="89"/>
      <c r="F331" s="88"/>
      <c r="G331" s="89"/>
      <c r="H331" s="88"/>
      <c r="I331" s="113"/>
    </row>
    <row r="332" spans="2:9" x14ac:dyDescent="0.2">
      <c r="B332" s="112"/>
      <c r="C332" s="87"/>
      <c r="D332" s="88">
        <v>2</v>
      </c>
      <c r="E332" s="89"/>
      <c r="F332" s="88"/>
      <c r="G332" s="89"/>
      <c r="H332" s="88">
        <f>PRODUCT(D332:G332)</f>
        <v>2</v>
      </c>
      <c r="I332" s="113" t="s">
        <v>12</v>
      </c>
    </row>
    <row r="333" spans="2:9" x14ac:dyDescent="0.2">
      <c r="B333" s="112"/>
      <c r="C333" s="87"/>
      <c r="D333" s="88"/>
      <c r="E333" s="89"/>
      <c r="F333" s="88"/>
      <c r="G333" s="89"/>
      <c r="H333" s="88"/>
      <c r="I333" s="113"/>
    </row>
    <row r="334" spans="2:9" x14ac:dyDescent="0.2">
      <c r="B334" s="114"/>
      <c r="C334" s="91"/>
      <c r="D334" s="222" t="s">
        <v>82</v>
      </c>
      <c r="E334" s="222"/>
      <c r="F334" s="222"/>
      <c r="G334" s="222"/>
      <c r="H334" s="92">
        <f>SUM(H331:H333)</f>
        <v>2</v>
      </c>
      <c r="I334" s="115" t="str">
        <f>I332</f>
        <v>UN</v>
      </c>
    </row>
    <row r="335" spans="2:9" x14ac:dyDescent="0.2">
      <c r="B335" s="112"/>
      <c r="C335" s="87"/>
      <c r="D335" s="88"/>
      <c r="E335" s="89"/>
      <c r="F335" s="88"/>
      <c r="G335" s="89"/>
      <c r="H335" s="88"/>
      <c r="I335" s="113"/>
    </row>
    <row r="336" spans="2:9" x14ac:dyDescent="0.2">
      <c r="B336" s="108">
        <f>PLAN!B72</f>
        <v>7</v>
      </c>
      <c r="C336" s="101" t="str">
        <f>PLAN!E72</f>
        <v>LAJE DE SÃO JOSÉ</v>
      </c>
      <c r="D336" s="100"/>
      <c r="E336" s="100"/>
      <c r="F336" s="100"/>
      <c r="G336" s="100"/>
      <c r="H336" s="100"/>
      <c r="I336" s="109"/>
    </row>
    <row r="337" spans="2:9" x14ac:dyDescent="0.2">
      <c r="B337" s="108" t="str">
        <f>PLAN!B73</f>
        <v>7.1</v>
      </c>
      <c r="C337" s="101" t="str">
        <f>PLAN!E73</f>
        <v>RUA DA QUADRA</v>
      </c>
      <c r="D337" s="100"/>
      <c r="E337" s="100"/>
      <c r="F337" s="100"/>
      <c r="G337" s="100"/>
      <c r="H337" s="100"/>
      <c r="I337" s="109"/>
    </row>
    <row r="338" spans="2:9" ht="25.5" x14ac:dyDescent="0.2">
      <c r="B338" s="69" t="str">
        <f>PLAN!B74</f>
        <v>7.1.1</v>
      </c>
      <c r="C338" s="64" t="str">
        <f>PLAN!E74</f>
        <v>REGULARIZAÇÃO DE SUPERFÍCIES COM MOTONIVELADORA. AF_11/2019</v>
      </c>
      <c r="D338" s="63" t="s">
        <v>78</v>
      </c>
      <c r="E338" s="63" t="s">
        <v>79</v>
      </c>
      <c r="F338" s="63"/>
      <c r="G338" s="63"/>
      <c r="H338" s="63" t="s">
        <v>82</v>
      </c>
      <c r="I338" s="116" t="s">
        <v>83</v>
      </c>
    </row>
    <row r="339" spans="2:9" x14ac:dyDescent="0.2">
      <c r="B339" s="112"/>
      <c r="C339" s="87"/>
      <c r="D339" s="88"/>
      <c r="E339" s="89"/>
      <c r="F339" s="88"/>
      <c r="G339" s="89"/>
      <c r="H339" s="88"/>
      <c r="I339" s="113"/>
    </row>
    <row r="340" spans="2:9" x14ac:dyDescent="0.2">
      <c r="B340" s="112"/>
      <c r="C340" s="87"/>
      <c r="D340" s="88">
        <v>18.75</v>
      </c>
      <c r="E340" s="89">
        <v>5</v>
      </c>
      <c r="F340" s="88"/>
      <c r="G340" s="89"/>
      <c r="H340" s="88">
        <f>PRODUCT(D340:G340)</f>
        <v>93.75</v>
      </c>
      <c r="I340" s="113" t="s">
        <v>86</v>
      </c>
    </row>
    <row r="341" spans="2:9" x14ac:dyDescent="0.2">
      <c r="B341" s="112"/>
      <c r="C341" s="87"/>
      <c r="D341" s="88">
        <v>37.700000000000003</v>
      </c>
      <c r="E341" s="89">
        <v>4.6500000000000004</v>
      </c>
      <c r="F341" s="88"/>
      <c r="G341" s="89"/>
      <c r="H341" s="88">
        <f>PRODUCT(D341:G341)</f>
        <v>175.30500000000004</v>
      </c>
      <c r="I341" s="113" t="s">
        <v>86</v>
      </c>
    </row>
    <row r="342" spans="2:9" x14ac:dyDescent="0.2">
      <c r="B342" s="112"/>
      <c r="C342" s="87"/>
      <c r="D342" s="88"/>
      <c r="E342" s="89"/>
      <c r="F342" s="88"/>
      <c r="G342" s="89"/>
      <c r="H342" s="88"/>
      <c r="I342" s="113"/>
    </row>
    <row r="343" spans="2:9" x14ac:dyDescent="0.2">
      <c r="B343" s="114"/>
      <c r="C343" s="91"/>
      <c r="D343" s="222" t="s">
        <v>82</v>
      </c>
      <c r="E343" s="222"/>
      <c r="F343" s="222"/>
      <c r="G343" s="222"/>
      <c r="H343" s="92">
        <f>SUM(H339:H342)</f>
        <v>269.05500000000006</v>
      </c>
      <c r="I343" s="115" t="str">
        <f>I340</f>
        <v>M2</v>
      </c>
    </row>
    <row r="344" spans="2:9" x14ac:dyDescent="0.2">
      <c r="B344" s="112"/>
      <c r="C344" s="87"/>
      <c r="D344" s="93"/>
      <c r="E344" s="93"/>
      <c r="F344" s="93"/>
      <c r="G344" s="93"/>
      <c r="H344" s="88"/>
      <c r="I344" s="113"/>
    </row>
    <row r="345" spans="2:9" ht="63.75" x14ac:dyDescent="0.2">
      <c r="B345" s="69" t="str">
        <f>PLAN!B75</f>
        <v>7.1.2</v>
      </c>
      <c r="C345" s="64" t="str">
        <f>PLAN!E75</f>
        <v>ASSENTAMENTO DE GUIA (MEIO-FIO) EM TRECHO RETO, CONFECCIONADA EM CONCRETO PRÉ-FABRICADO, DIMENSÕES 100X15X13X30 CM (COMPRIMENTO X BASE INFERIOR X BASE SUPERIOR X ALTURA). AF_01/2024</v>
      </c>
      <c r="D345" s="63" t="s">
        <v>78</v>
      </c>
      <c r="E345" s="63"/>
      <c r="F345" s="63"/>
      <c r="G345" s="63"/>
      <c r="H345" s="63" t="s">
        <v>82</v>
      </c>
      <c r="I345" s="116" t="s">
        <v>83</v>
      </c>
    </row>
    <row r="346" spans="2:9" x14ac:dyDescent="0.2">
      <c r="B346" s="112"/>
      <c r="C346" s="87"/>
      <c r="D346" s="88"/>
      <c r="E346" s="89"/>
      <c r="F346" s="88"/>
      <c r="G346" s="89"/>
      <c r="H346" s="88"/>
      <c r="I346" s="113"/>
    </row>
    <row r="347" spans="2:9" x14ac:dyDescent="0.2">
      <c r="B347" s="112"/>
      <c r="C347" s="87"/>
      <c r="D347" s="88">
        <v>104.9</v>
      </c>
      <c r="E347" s="89"/>
      <c r="F347" s="88"/>
      <c r="G347" s="89"/>
      <c r="H347" s="88">
        <f>PRODUCT(D347:G347)</f>
        <v>104.9</v>
      </c>
      <c r="I347" s="113" t="s">
        <v>21</v>
      </c>
    </row>
    <row r="348" spans="2:9" x14ac:dyDescent="0.2">
      <c r="B348" s="112"/>
      <c r="C348" s="87"/>
      <c r="D348" s="88"/>
      <c r="E348" s="89"/>
      <c r="F348" s="88"/>
      <c r="G348" s="89"/>
      <c r="H348" s="88"/>
      <c r="I348" s="113"/>
    </row>
    <row r="349" spans="2:9" x14ac:dyDescent="0.2">
      <c r="B349" s="114"/>
      <c r="C349" s="91"/>
      <c r="D349" s="222" t="s">
        <v>82</v>
      </c>
      <c r="E349" s="222"/>
      <c r="F349" s="222"/>
      <c r="G349" s="222"/>
      <c r="H349" s="92">
        <f>SUM(H346:H348)</f>
        <v>104.9</v>
      </c>
      <c r="I349" s="115" t="str">
        <f>I347</f>
        <v>M</v>
      </c>
    </row>
    <row r="350" spans="2:9" x14ac:dyDescent="0.2">
      <c r="B350" s="112"/>
      <c r="C350" s="87"/>
      <c r="D350" s="93"/>
      <c r="E350" s="93"/>
      <c r="F350" s="93"/>
      <c r="G350" s="93"/>
      <c r="H350" s="88"/>
      <c r="I350" s="113"/>
    </row>
    <row r="351" spans="2:9" ht="38.25" x14ac:dyDescent="0.2">
      <c r="B351" s="69" t="str">
        <f>PLAN!B76</f>
        <v>7.1.3</v>
      </c>
      <c r="C351" s="64" t="str">
        <f>PLAN!E76</f>
        <v>EXECUÇÃO DE PAVIMENTO EM PARALELEPÍPEDOS, REJUNTAMENTO COM ARGAMASSA TRAÇO 1:3 (CIMENTO E AREIA). AF_05/2020</v>
      </c>
      <c r="D351" s="63" t="s">
        <v>78</v>
      </c>
      <c r="E351" s="63" t="s">
        <v>79</v>
      </c>
      <c r="F351" s="63"/>
      <c r="G351" s="63"/>
      <c r="H351" s="63" t="s">
        <v>82</v>
      </c>
      <c r="I351" s="116" t="s">
        <v>83</v>
      </c>
    </row>
    <row r="352" spans="2:9" x14ac:dyDescent="0.2">
      <c r="B352" s="112"/>
      <c r="C352" s="87"/>
      <c r="D352" s="88"/>
      <c r="E352" s="89"/>
      <c r="F352" s="88"/>
      <c r="G352" s="89"/>
      <c r="H352" s="88"/>
      <c r="I352" s="113"/>
    </row>
    <row r="353" spans="2:9" x14ac:dyDescent="0.2">
      <c r="B353" s="112"/>
      <c r="C353" s="87"/>
      <c r="D353" s="88">
        <v>18.75</v>
      </c>
      <c r="E353" s="89">
        <v>5</v>
      </c>
      <c r="F353" s="88"/>
      <c r="G353" s="89"/>
      <c r="H353" s="88">
        <f>PRODUCT(D353:G353)</f>
        <v>93.75</v>
      </c>
      <c r="I353" s="113" t="s">
        <v>86</v>
      </c>
    </row>
    <row r="354" spans="2:9" x14ac:dyDescent="0.2">
      <c r="B354" s="112"/>
      <c r="C354" s="87"/>
      <c r="D354" s="88">
        <v>37.700000000000003</v>
      </c>
      <c r="E354" s="89">
        <v>4.6500000000000004</v>
      </c>
      <c r="F354" s="88"/>
      <c r="G354" s="89"/>
      <c r="H354" s="88">
        <f>PRODUCT(D354:G354)</f>
        <v>175.30500000000004</v>
      </c>
      <c r="I354" s="113" t="s">
        <v>86</v>
      </c>
    </row>
    <row r="355" spans="2:9" x14ac:dyDescent="0.2">
      <c r="B355" s="112"/>
      <c r="C355" s="87"/>
      <c r="D355" s="88"/>
      <c r="E355" s="89"/>
      <c r="F355" s="88"/>
      <c r="G355" s="89"/>
      <c r="H355" s="88"/>
      <c r="I355" s="113"/>
    </row>
    <row r="356" spans="2:9" x14ac:dyDescent="0.2">
      <c r="B356" s="114"/>
      <c r="C356" s="91"/>
      <c r="D356" s="222" t="s">
        <v>82</v>
      </c>
      <c r="E356" s="222"/>
      <c r="F356" s="222"/>
      <c r="G356" s="222"/>
      <c r="H356" s="92">
        <f>SUM(H352:H355)</f>
        <v>269.05500000000006</v>
      </c>
      <c r="I356" s="115" t="str">
        <f>I353</f>
        <v>M2</v>
      </c>
    </row>
    <row r="357" spans="2:9" x14ac:dyDescent="0.2">
      <c r="B357" s="112"/>
      <c r="C357" s="87"/>
      <c r="D357" s="88"/>
      <c r="E357" s="89"/>
      <c r="F357" s="88"/>
      <c r="G357" s="89"/>
      <c r="H357" s="88"/>
      <c r="I357" s="113"/>
    </row>
    <row r="358" spans="2:9" ht="25.5" x14ac:dyDescent="0.2">
      <c r="B358" s="69" t="str">
        <f>PLAN!B77</f>
        <v>7.1.4</v>
      </c>
      <c r="C358" s="64" t="str">
        <f>PLAN!E77</f>
        <v>PLACA ESMALTADA PARA IDENTIFICAÇÃO NR DE RUA, DIMENSÕES 45X25CM - (SINAPI 01/2020)</v>
      </c>
      <c r="D358" s="63" t="s">
        <v>95</v>
      </c>
      <c r="E358" s="63"/>
      <c r="F358" s="63"/>
      <c r="G358" s="63"/>
      <c r="H358" s="63" t="s">
        <v>82</v>
      </c>
      <c r="I358" s="116" t="s">
        <v>83</v>
      </c>
    </row>
    <row r="359" spans="2:9" x14ac:dyDescent="0.2">
      <c r="B359" s="112"/>
      <c r="C359" s="87"/>
      <c r="D359" s="88"/>
      <c r="E359" s="89"/>
      <c r="F359" s="88"/>
      <c r="G359" s="89"/>
      <c r="H359" s="88"/>
      <c r="I359" s="113"/>
    </row>
    <row r="360" spans="2:9" x14ac:dyDescent="0.2">
      <c r="B360" s="112"/>
      <c r="C360" s="87"/>
      <c r="D360" s="88">
        <v>2</v>
      </c>
      <c r="E360" s="89"/>
      <c r="F360" s="88"/>
      <c r="G360" s="89"/>
      <c r="H360" s="88">
        <f>PRODUCT(D360:G360)</f>
        <v>2</v>
      </c>
      <c r="I360" s="113" t="s">
        <v>12</v>
      </c>
    </row>
    <row r="361" spans="2:9" x14ac:dyDescent="0.2">
      <c r="B361" s="112"/>
      <c r="C361" s="87"/>
      <c r="D361" s="88"/>
      <c r="E361" s="89"/>
      <c r="F361" s="88"/>
      <c r="G361" s="89"/>
      <c r="H361" s="88"/>
      <c r="I361" s="113"/>
    </row>
    <row r="362" spans="2:9" x14ac:dyDescent="0.2">
      <c r="B362" s="114"/>
      <c r="C362" s="91"/>
      <c r="D362" s="222" t="s">
        <v>82</v>
      </c>
      <c r="E362" s="222"/>
      <c r="F362" s="222"/>
      <c r="G362" s="222"/>
      <c r="H362" s="92">
        <f>SUM(H359:H361)</f>
        <v>2</v>
      </c>
      <c r="I362" s="115" t="str">
        <f>I360</f>
        <v>UN</v>
      </c>
    </row>
    <row r="363" spans="2:9" x14ac:dyDescent="0.2">
      <c r="B363" s="112"/>
      <c r="C363" s="87"/>
      <c r="D363" s="88"/>
      <c r="E363" s="89"/>
      <c r="F363" s="88"/>
      <c r="G363" s="89"/>
      <c r="H363" s="88"/>
      <c r="I363" s="113"/>
    </row>
    <row r="364" spans="2:9" x14ac:dyDescent="0.2">
      <c r="B364" s="108" t="str">
        <f>PLAN!B78</f>
        <v>7.2</v>
      </c>
      <c r="C364" s="101" t="str">
        <f>PLAN!E78</f>
        <v>RUA DA BARRAGEM</v>
      </c>
      <c r="D364" s="100"/>
      <c r="E364" s="100"/>
      <c r="F364" s="100"/>
      <c r="G364" s="100"/>
      <c r="H364" s="100"/>
      <c r="I364" s="109"/>
    </row>
    <row r="365" spans="2:9" ht="25.5" x14ac:dyDescent="0.2">
      <c r="B365" s="69" t="str">
        <f>PLAN!B79</f>
        <v>7.2.1</v>
      </c>
      <c r="C365" s="64" t="str">
        <f>PLAN!E79</f>
        <v>REGULARIZAÇÃO DE SUPERFÍCIES COM MOTONIVELADORA. AF_11/2019</v>
      </c>
      <c r="D365" s="63" t="s">
        <v>177</v>
      </c>
      <c r="E365" s="63"/>
      <c r="F365" s="63"/>
      <c r="G365" s="63" t="s">
        <v>81</v>
      </c>
      <c r="H365" s="63" t="s">
        <v>82</v>
      </c>
      <c r="I365" s="116" t="s">
        <v>83</v>
      </c>
    </row>
    <row r="366" spans="2:9" x14ac:dyDescent="0.2">
      <c r="B366" s="112"/>
      <c r="C366" s="87"/>
      <c r="D366" s="88"/>
      <c r="E366" s="89"/>
      <c r="F366" s="88"/>
      <c r="G366" s="89"/>
      <c r="H366" s="88"/>
      <c r="I366" s="113"/>
    </row>
    <row r="367" spans="2:9" x14ac:dyDescent="0.2">
      <c r="B367" s="112"/>
      <c r="C367" s="87"/>
      <c r="D367" s="88">
        <f>((8+4.85)*(48.85-5.75))/2</f>
        <v>276.91750000000002</v>
      </c>
      <c r="E367" s="89"/>
      <c r="F367" s="88"/>
      <c r="G367" s="89"/>
      <c r="H367" s="88">
        <f>PRODUCT(D367:G367)</f>
        <v>276.91750000000002</v>
      </c>
      <c r="I367" s="113" t="s">
        <v>86</v>
      </c>
    </row>
    <row r="368" spans="2:9" x14ac:dyDescent="0.2">
      <c r="B368" s="112"/>
      <c r="C368" s="87"/>
      <c r="D368" s="88">
        <f>((4.85+6.15)*5.75)/2</f>
        <v>31.625</v>
      </c>
      <c r="E368" s="89"/>
      <c r="F368" s="88"/>
      <c r="G368" s="89"/>
      <c r="H368" s="88">
        <f>PRODUCT(D368:G368)</f>
        <v>31.625</v>
      </c>
      <c r="I368" s="113" t="s">
        <v>86</v>
      </c>
    </row>
    <row r="369" spans="2:9" x14ac:dyDescent="0.2">
      <c r="B369" s="112"/>
      <c r="C369" s="90" t="s">
        <v>178</v>
      </c>
      <c r="D369" s="88">
        <f>10.4*8</f>
        <v>83.2</v>
      </c>
      <c r="E369" s="89"/>
      <c r="F369" s="88"/>
      <c r="G369" s="89">
        <v>-1</v>
      </c>
      <c r="H369" s="88">
        <f>PRODUCT(D369:G369)</f>
        <v>-83.2</v>
      </c>
      <c r="I369" s="113" t="s">
        <v>86</v>
      </c>
    </row>
    <row r="370" spans="2:9" x14ac:dyDescent="0.2">
      <c r="B370" s="112"/>
      <c r="C370" s="87"/>
      <c r="D370" s="88"/>
      <c r="E370" s="89"/>
      <c r="F370" s="88"/>
      <c r="G370" s="89"/>
      <c r="H370" s="88"/>
      <c r="I370" s="113"/>
    </row>
    <row r="371" spans="2:9" x14ac:dyDescent="0.2">
      <c r="B371" s="114"/>
      <c r="C371" s="91"/>
      <c r="D371" s="222" t="s">
        <v>82</v>
      </c>
      <c r="E371" s="222"/>
      <c r="F371" s="222"/>
      <c r="G371" s="222"/>
      <c r="H371" s="92">
        <f>SUM(H366:H370)</f>
        <v>225.34250000000003</v>
      </c>
      <c r="I371" s="115" t="str">
        <f>I367</f>
        <v>M2</v>
      </c>
    </row>
    <row r="372" spans="2:9" x14ac:dyDescent="0.2">
      <c r="B372" s="112"/>
      <c r="C372" s="87"/>
      <c r="D372" s="93"/>
      <c r="E372" s="93"/>
      <c r="F372" s="93"/>
      <c r="G372" s="93"/>
      <c r="H372" s="88"/>
      <c r="I372" s="113"/>
    </row>
    <row r="373" spans="2:9" ht="63.75" x14ac:dyDescent="0.2">
      <c r="B373" s="69" t="str">
        <f>PLAN!B80</f>
        <v>7.2.2</v>
      </c>
      <c r="C373" s="64" t="str">
        <f>PLAN!E80</f>
        <v>ASSENTAMENTO DE GUIA (MEIO-FIO) EM TRECHO RETO, CONFECCIONADA EM CONCRETO PRÉ-FABRICADO, DIMENSÕES 100X15X13X30 CM (COMPRIMENTO X BASE INFERIOR X BASE SUPERIOR X ALTURA). AF_01/2024</v>
      </c>
      <c r="D373" s="63" t="s">
        <v>78</v>
      </c>
      <c r="E373" s="63"/>
      <c r="F373" s="63" t="s">
        <v>80</v>
      </c>
      <c r="G373" s="63"/>
      <c r="H373" s="63" t="s">
        <v>82</v>
      </c>
      <c r="I373" s="116" t="s">
        <v>83</v>
      </c>
    </row>
    <row r="374" spans="2:9" x14ac:dyDescent="0.2">
      <c r="B374" s="112"/>
      <c r="C374" s="87"/>
      <c r="D374" s="88"/>
      <c r="E374" s="89"/>
      <c r="F374" s="88"/>
      <c r="G374" s="89"/>
      <c r="H374" s="88"/>
      <c r="I374" s="113"/>
    </row>
    <row r="375" spans="2:9" x14ac:dyDescent="0.2">
      <c r="B375" s="112"/>
      <c r="C375" s="87"/>
      <c r="D375" s="88">
        <f>48.85</f>
        <v>48.85</v>
      </c>
      <c r="E375" s="89"/>
      <c r="F375" s="88">
        <v>2</v>
      </c>
      <c r="G375" s="89"/>
      <c r="H375" s="88">
        <f>PRODUCT(D375:G375)</f>
        <v>97.7</v>
      </c>
      <c r="I375" s="113" t="s">
        <v>21</v>
      </c>
    </row>
    <row r="376" spans="2:9" x14ac:dyDescent="0.2">
      <c r="B376" s="112"/>
      <c r="C376" s="87"/>
      <c r="D376" s="88"/>
      <c r="E376" s="89"/>
      <c r="F376" s="88"/>
      <c r="G376" s="89"/>
      <c r="H376" s="88"/>
      <c r="I376" s="113"/>
    </row>
    <row r="377" spans="2:9" x14ac:dyDescent="0.2">
      <c r="B377" s="114"/>
      <c r="C377" s="91"/>
      <c r="D377" s="222" t="s">
        <v>82</v>
      </c>
      <c r="E377" s="222"/>
      <c r="F377" s="222"/>
      <c r="G377" s="222"/>
      <c r="H377" s="92">
        <f>SUM(H374:H376)</f>
        <v>97.7</v>
      </c>
      <c r="I377" s="115" t="str">
        <f>I375</f>
        <v>M</v>
      </c>
    </row>
    <row r="378" spans="2:9" x14ac:dyDescent="0.2">
      <c r="B378" s="112"/>
      <c r="C378" s="87"/>
      <c r="D378" s="93"/>
      <c r="E378" s="93"/>
      <c r="F378" s="93"/>
      <c r="G378" s="93"/>
      <c r="H378" s="88"/>
      <c r="I378" s="113"/>
    </row>
    <row r="379" spans="2:9" ht="38.25" x14ac:dyDescent="0.2">
      <c r="B379" s="69" t="str">
        <f>PLAN!B81</f>
        <v>7.2.3</v>
      </c>
      <c r="C379" s="64" t="str">
        <f>PLAN!E81</f>
        <v>EXECUÇÃO DE PAVIMENTO EM PARALELEPÍPEDOS, REJUNTAMENTO COM ARGAMASSA TRAÇO 1:3 (CIMENTO E AREIA). AF_05/2020</v>
      </c>
      <c r="D379" s="63" t="s">
        <v>78</v>
      </c>
      <c r="E379" s="63" t="s">
        <v>79</v>
      </c>
      <c r="F379" s="63"/>
      <c r="G379" s="63"/>
      <c r="H379" s="63" t="s">
        <v>82</v>
      </c>
      <c r="I379" s="116" t="s">
        <v>83</v>
      </c>
    </row>
    <row r="380" spans="2:9" x14ac:dyDescent="0.2">
      <c r="B380" s="112"/>
      <c r="C380" s="87"/>
      <c r="D380" s="88"/>
      <c r="E380" s="89"/>
      <c r="F380" s="88"/>
      <c r="G380" s="89"/>
      <c r="H380" s="88"/>
      <c r="I380" s="113"/>
    </row>
    <row r="381" spans="2:9" x14ac:dyDescent="0.2">
      <c r="B381" s="112"/>
      <c r="C381" s="87"/>
      <c r="D381" s="88">
        <f>((8+4.85)*(48.85-5.75))/2</f>
        <v>276.91750000000002</v>
      </c>
      <c r="E381" s="89"/>
      <c r="F381" s="88"/>
      <c r="G381" s="89"/>
      <c r="H381" s="88">
        <f>PRODUCT(D381:G381)</f>
        <v>276.91750000000002</v>
      </c>
      <c r="I381" s="113" t="s">
        <v>86</v>
      </c>
    </row>
    <row r="382" spans="2:9" x14ac:dyDescent="0.2">
      <c r="B382" s="112"/>
      <c r="C382" s="87"/>
      <c r="D382" s="88">
        <f>((4.85+6.15)*5.75)/2</f>
        <v>31.625</v>
      </c>
      <c r="E382" s="89"/>
      <c r="F382" s="88"/>
      <c r="G382" s="89"/>
      <c r="H382" s="88">
        <f>PRODUCT(D382:G382)</f>
        <v>31.625</v>
      </c>
      <c r="I382" s="113" t="s">
        <v>86</v>
      </c>
    </row>
    <row r="383" spans="2:9" x14ac:dyDescent="0.2">
      <c r="B383" s="112"/>
      <c r="C383" s="90" t="s">
        <v>178</v>
      </c>
      <c r="D383" s="88">
        <f>10.4*8</f>
        <v>83.2</v>
      </c>
      <c r="E383" s="89"/>
      <c r="F383" s="88"/>
      <c r="G383" s="89">
        <v>-1</v>
      </c>
      <c r="H383" s="88">
        <f>PRODUCT(D383:G383)</f>
        <v>-83.2</v>
      </c>
      <c r="I383" s="113" t="s">
        <v>86</v>
      </c>
    </row>
    <row r="384" spans="2:9" x14ac:dyDescent="0.2">
      <c r="B384" s="112"/>
      <c r="C384" s="87"/>
      <c r="D384" s="88"/>
      <c r="E384" s="89"/>
      <c r="F384" s="88"/>
      <c r="G384" s="89"/>
      <c r="H384" s="88"/>
      <c r="I384" s="113"/>
    </row>
    <row r="385" spans="2:9" x14ac:dyDescent="0.2">
      <c r="B385" s="114"/>
      <c r="C385" s="91"/>
      <c r="D385" s="222" t="s">
        <v>82</v>
      </c>
      <c r="E385" s="222"/>
      <c r="F385" s="222"/>
      <c r="G385" s="222"/>
      <c r="H385" s="92">
        <f>SUM(H380:H384)</f>
        <v>225.34250000000003</v>
      </c>
      <c r="I385" s="115" t="str">
        <f>I381</f>
        <v>M2</v>
      </c>
    </row>
    <row r="386" spans="2:9" x14ac:dyDescent="0.2">
      <c r="B386" s="112"/>
      <c r="C386" s="87"/>
      <c r="D386" s="88"/>
      <c r="E386" s="89"/>
      <c r="F386" s="88"/>
      <c r="G386" s="89"/>
      <c r="H386" s="88"/>
      <c r="I386" s="113"/>
    </row>
    <row r="387" spans="2:9" ht="25.5" x14ac:dyDescent="0.2">
      <c r="B387" s="69" t="str">
        <f>PLAN!B82</f>
        <v>7.2.4</v>
      </c>
      <c r="C387" s="64" t="str">
        <f>PLAN!E82</f>
        <v>PLACA ESMALTADA PARA IDENTIFICAÇÃO NR DE RUA, DIMENSÕES 45X25CM - (SINAPI 01/2020)</v>
      </c>
      <c r="D387" s="63" t="s">
        <v>95</v>
      </c>
      <c r="E387" s="63"/>
      <c r="F387" s="63"/>
      <c r="G387" s="63"/>
      <c r="H387" s="63" t="s">
        <v>82</v>
      </c>
      <c r="I387" s="116" t="s">
        <v>83</v>
      </c>
    </row>
    <row r="388" spans="2:9" x14ac:dyDescent="0.2">
      <c r="B388" s="112"/>
      <c r="C388" s="87"/>
      <c r="D388" s="88"/>
      <c r="E388" s="89"/>
      <c r="F388" s="88"/>
      <c r="G388" s="89"/>
      <c r="H388" s="88"/>
      <c r="I388" s="113"/>
    </row>
    <row r="389" spans="2:9" x14ac:dyDescent="0.2">
      <c r="B389" s="112"/>
      <c r="C389" s="87"/>
      <c r="D389" s="88">
        <v>2</v>
      </c>
      <c r="E389" s="89"/>
      <c r="F389" s="88"/>
      <c r="G389" s="89"/>
      <c r="H389" s="88">
        <f>PRODUCT(D389:G389)</f>
        <v>2</v>
      </c>
      <c r="I389" s="113" t="s">
        <v>12</v>
      </c>
    </row>
    <row r="390" spans="2:9" x14ac:dyDescent="0.2">
      <c r="B390" s="112"/>
      <c r="C390" s="87"/>
      <c r="D390" s="88"/>
      <c r="E390" s="89"/>
      <c r="F390" s="88"/>
      <c r="G390" s="89"/>
      <c r="H390" s="88"/>
      <c r="I390" s="113"/>
    </row>
    <row r="391" spans="2:9" x14ac:dyDescent="0.2">
      <c r="B391" s="114"/>
      <c r="C391" s="91"/>
      <c r="D391" s="222" t="s">
        <v>82</v>
      </c>
      <c r="E391" s="222"/>
      <c r="F391" s="222"/>
      <c r="G391" s="222"/>
      <c r="H391" s="92">
        <f>SUM(H388:H390)</f>
        <v>2</v>
      </c>
      <c r="I391" s="115" t="str">
        <f>I389</f>
        <v>UN</v>
      </c>
    </row>
    <row r="392" spans="2:9" ht="13.5" thickBot="1" x14ac:dyDescent="0.25">
      <c r="B392" s="117"/>
      <c r="C392" s="118"/>
      <c r="D392" s="119"/>
      <c r="E392" s="118"/>
      <c r="F392" s="119"/>
      <c r="G392" s="118"/>
      <c r="H392" s="120"/>
      <c r="I392" s="121"/>
    </row>
  </sheetData>
  <mergeCells count="58">
    <mergeCell ref="D50:G50"/>
    <mergeCell ref="D58:G58"/>
    <mergeCell ref="D64:G64"/>
    <mergeCell ref="D70:G70"/>
    <mergeCell ref="D76:G76"/>
    <mergeCell ref="B13:I14"/>
    <mergeCell ref="D21:G21"/>
    <mergeCell ref="D30:G30"/>
    <mergeCell ref="D37:G37"/>
    <mergeCell ref="D44:G44"/>
    <mergeCell ref="D145:G145"/>
    <mergeCell ref="D84:G84"/>
    <mergeCell ref="D92:G92"/>
    <mergeCell ref="D98:G98"/>
    <mergeCell ref="D104:G104"/>
    <mergeCell ref="D111:G111"/>
    <mergeCell ref="D119:G119"/>
    <mergeCell ref="D125:G125"/>
    <mergeCell ref="D131:G131"/>
    <mergeCell ref="D138:G138"/>
    <mergeCell ref="D226:G226"/>
    <mergeCell ref="D232:G232"/>
    <mergeCell ref="D220:G220"/>
    <mergeCell ref="D151:G151"/>
    <mergeCell ref="D157:G157"/>
    <mergeCell ref="D164:G164"/>
    <mergeCell ref="D170:G170"/>
    <mergeCell ref="D176:G176"/>
    <mergeCell ref="D182:G182"/>
    <mergeCell ref="D189:G189"/>
    <mergeCell ref="D195:G195"/>
    <mergeCell ref="D201:G201"/>
    <mergeCell ref="D207:G207"/>
    <mergeCell ref="D214:G214"/>
    <mergeCell ref="D240:G240"/>
    <mergeCell ref="D246:G246"/>
    <mergeCell ref="D252:G252"/>
    <mergeCell ref="D258:G258"/>
    <mergeCell ref="D265:G265"/>
    <mergeCell ref="D271:G271"/>
    <mergeCell ref="D277:G277"/>
    <mergeCell ref="D283:G283"/>
    <mergeCell ref="D291:G291"/>
    <mergeCell ref="D297:G297"/>
    <mergeCell ref="D303:G303"/>
    <mergeCell ref="D309:G309"/>
    <mergeCell ref="D316:G316"/>
    <mergeCell ref="D322:G322"/>
    <mergeCell ref="D328:G328"/>
    <mergeCell ref="D371:G371"/>
    <mergeCell ref="D377:G377"/>
    <mergeCell ref="D385:G385"/>
    <mergeCell ref="D391:G391"/>
    <mergeCell ref="D334:G334"/>
    <mergeCell ref="D343:G343"/>
    <mergeCell ref="D349:G349"/>
    <mergeCell ref="D356:G356"/>
    <mergeCell ref="D362:G362"/>
  </mergeCells>
  <printOptions horizontalCentered="1"/>
  <pageMargins left="0.27559055118110237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7E1-8547-4283-8AA5-49EA2FCB36DD}">
  <dimension ref="B1:M57"/>
  <sheetViews>
    <sheetView view="pageBreakPreview" zoomScaleNormal="100" zoomScaleSheetLayoutView="100" workbookViewId="0">
      <selection activeCell="F24" sqref="F24"/>
    </sheetView>
  </sheetViews>
  <sheetFormatPr defaultColWidth="10" defaultRowHeight="14.25" x14ac:dyDescent="0.2"/>
  <cols>
    <col min="1" max="1" width="10" style="9"/>
    <col min="2" max="2" width="7.875" style="9" customWidth="1"/>
    <col min="3" max="3" width="8.5" style="9" customWidth="1"/>
    <col min="4" max="4" width="42.125" style="9" customWidth="1"/>
    <col min="5" max="5" width="15.5" style="10" customWidth="1"/>
    <col min="6" max="6" width="31" style="9" customWidth="1"/>
    <col min="7" max="7" width="10.625" style="9" bestFit="1" customWidth="1"/>
    <col min="8" max="257" width="10" style="9"/>
    <col min="258" max="258" width="12" style="9" customWidth="1"/>
    <col min="259" max="259" width="8.5" style="9" customWidth="1"/>
    <col min="260" max="260" width="36.375" style="9" customWidth="1"/>
    <col min="261" max="261" width="10" style="9" customWidth="1"/>
    <col min="262" max="262" width="15" style="9" customWidth="1"/>
    <col min="263" max="263" width="10.625" style="9" bestFit="1" customWidth="1"/>
    <col min="264" max="513" width="10" style="9"/>
    <col min="514" max="514" width="12" style="9" customWidth="1"/>
    <col min="515" max="515" width="8.5" style="9" customWidth="1"/>
    <col min="516" max="516" width="36.375" style="9" customWidth="1"/>
    <col min="517" max="517" width="10" style="9" customWidth="1"/>
    <col min="518" max="518" width="15" style="9" customWidth="1"/>
    <col min="519" max="519" width="10.625" style="9" bestFit="1" customWidth="1"/>
    <col min="520" max="769" width="10" style="9"/>
    <col min="770" max="770" width="12" style="9" customWidth="1"/>
    <col min="771" max="771" width="8.5" style="9" customWidth="1"/>
    <col min="772" max="772" width="36.375" style="9" customWidth="1"/>
    <col min="773" max="773" width="10" style="9" customWidth="1"/>
    <col min="774" max="774" width="15" style="9" customWidth="1"/>
    <col min="775" max="775" width="10.625" style="9" bestFit="1" customWidth="1"/>
    <col min="776" max="1025" width="10" style="9"/>
    <col min="1026" max="1026" width="12" style="9" customWidth="1"/>
    <col min="1027" max="1027" width="8.5" style="9" customWidth="1"/>
    <col min="1028" max="1028" width="36.375" style="9" customWidth="1"/>
    <col min="1029" max="1029" width="10" style="9" customWidth="1"/>
    <col min="1030" max="1030" width="15" style="9" customWidth="1"/>
    <col min="1031" max="1031" width="10.625" style="9" bestFit="1" customWidth="1"/>
    <col min="1032" max="1281" width="10" style="9"/>
    <col min="1282" max="1282" width="12" style="9" customWidth="1"/>
    <col min="1283" max="1283" width="8.5" style="9" customWidth="1"/>
    <col min="1284" max="1284" width="36.375" style="9" customWidth="1"/>
    <col min="1285" max="1285" width="10" style="9" customWidth="1"/>
    <col min="1286" max="1286" width="15" style="9" customWidth="1"/>
    <col min="1287" max="1287" width="10.625" style="9" bestFit="1" customWidth="1"/>
    <col min="1288" max="1537" width="10" style="9"/>
    <col min="1538" max="1538" width="12" style="9" customWidth="1"/>
    <col min="1539" max="1539" width="8.5" style="9" customWidth="1"/>
    <col min="1540" max="1540" width="36.375" style="9" customWidth="1"/>
    <col min="1541" max="1541" width="10" style="9" customWidth="1"/>
    <col min="1542" max="1542" width="15" style="9" customWidth="1"/>
    <col min="1543" max="1543" width="10.625" style="9" bestFit="1" customWidth="1"/>
    <col min="1544" max="1793" width="10" style="9"/>
    <col min="1794" max="1794" width="12" style="9" customWidth="1"/>
    <col min="1795" max="1795" width="8.5" style="9" customWidth="1"/>
    <col min="1796" max="1796" width="36.375" style="9" customWidth="1"/>
    <col min="1797" max="1797" width="10" style="9" customWidth="1"/>
    <col min="1798" max="1798" width="15" style="9" customWidth="1"/>
    <col min="1799" max="1799" width="10.625" style="9" bestFit="1" customWidth="1"/>
    <col min="1800" max="2049" width="10" style="9"/>
    <col min="2050" max="2050" width="12" style="9" customWidth="1"/>
    <col min="2051" max="2051" width="8.5" style="9" customWidth="1"/>
    <col min="2052" max="2052" width="36.375" style="9" customWidth="1"/>
    <col min="2053" max="2053" width="10" style="9" customWidth="1"/>
    <col min="2054" max="2054" width="15" style="9" customWidth="1"/>
    <col min="2055" max="2055" width="10.625" style="9" bestFit="1" customWidth="1"/>
    <col min="2056" max="2305" width="10" style="9"/>
    <col min="2306" max="2306" width="12" style="9" customWidth="1"/>
    <col min="2307" max="2307" width="8.5" style="9" customWidth="1"/>
    <col min="2308" max="2308" width="36.375" style="9" customWidth="1"/>
    <col min="2309" max="2309" width="10" style="9" customWidth="1"/>
    <col min="2310" max="2310" width="15" style="9" customWidth="1"/>
    <col min="2311" max="2311" width="10.625" style="9" bestFit="1" customWidth="1"/>
    <col min="2312" max="2561" width="10" style="9"/>
    <col min="2562" max="2562" width="12" style="9" customWidth="1"/>
    <col min="2563" max="2563" width="8.5" style="9" customWidth="1"/>
    <col min="2564" max="2564" width="36.375" style="9" customWidth="1"/>
    <col min="2565" max="2565" width="10" style="9" customWidth="1"/>
    <col min="2566" max="2566" width="15" style="9" customWidth="1"/>
    <col min="2567" max="2567" width="10.625" style="9" bestFit="1" customWidth="1"/>
    <col min="2568" max="2817" width="10" style="9"/>
    <col min="2818" max="2818" width="12" style="9" customWidth="1"/>
    <col min="2819" max="2819" width="8.5" style="9" customWidth="1"/>
    <col min="2820" max="2820" width="36.375" style="9" customWidth="1"/>
    <col min="2821" max="2821" width="10" style="9" customWidth="1"/>
    <col min="2822" max="2822" width="15" style="9" customWidth="1"/>
    <col min="2823" max="2823" width="10.625" style="9" bestFit="1" customWidth="1"/>
    <col min="2824" max="3073" width="10" style="9"/>
    <col min="3074" max="3074" width="12" style="9" customWidth="1"/>
    <col min="3075" max="3075" width="8.5" style="9" customWidth="1"/>
    <col min="3076" max="3076" width="36.375" style="9" customWidth="1"/>
    <col min="3077" max="3077" width="10" style="9" customWidth="1"/>
    <col min="3078" max="3078" width="15" style="9" customWidth="1"/>
    <col min="3079" max="3079" width="10.625" style="9" bestFit="1" customWidth="1"/>
    <col min="3080" max="3329" width="10" style="9"/>
    <col min="3330" max="3330" width="12" style="9" customWidth="1"/>
    <col min="3331" max="3331" width="8.5" style="9" customWidth="1"/>
    <col min="3332" max="3332" width="36.375" style="9" customWidth="1"/>
    <col min="3333" max="3333" width="10" style="9" customWidth="1"/>
    <col min="3334" max="3334" width="15" style="9" customWidth="1"/>
    <col min="3335" max="3335" width="10.625" style="9" bestFit="1" customWidth="1"/>
    <col min="3336" max="3585" width="10" style="9"/>
    <col min="3586" max="3586" width="12" style="9" customWidth="1"/>
    <col min="3587" max="3587" width="8.5" style="9" customWidth="1"/>
    <col min="3588" max="3588" width="36.375" style="9" customWidth="1"/>
    <col min="3589" max="3589" width="10" style="9" customWidth="1"/>
    <col min="3590" max="3590" width="15" style="9" customWidth="1"/>
    <col min="3591" max="3591" width="10.625" style="9" bestFit="1" customWidth="1"/>
    <col min="3592" max="3841" width="10" style="9"/>
    <col min="3842" max="3842" width="12" style="9" customWidth="1"/>
    <col min="3843" max="3843" width="8.5" style="9" customWidth="1"/>
    <col min="3844" max="3844" width="36.375" style="9" customWidth="1"/>
    <col min="3845" max="3845" width="10" style="9" customWidth="1"/>
    <col min="3846" max="3846" width="15" style="9" customWidth="1"/>
    <col min="3847" max="3847" width="10.625" style="9" bestFit="1" customWidth="1"/>
    <col min="3848" max="4097" width="10" style="9"/>
    <col min="4098" max="4098" width="12" style="9" customWidth="1"/>
    <col min="4099" max="4099" width="8.5" style="9" customWidth="1"/>
    <col min="4100" max="4100" width="36.375" style="9" customWidth="1"/>
    <col min="4101" max="4101" width="10" style="9" customWidth="1"/>
    <col min="4102" max="4102" width="15" style="9" customWidth="1"/>
    <col min="4103" max="4103" width="10.625" style="9" bestFit="1" customWidth="1"/>
    <col min="4104" max="4353" width="10" style="9"/>
    <col min="4354" max="4354" width="12" style="9" customWidth="1"/>
    <col min="4355" max="4355" width="8.5" style="9" customWidth="1"/>
    <col min="4356" max="4356" width="36.375" style="9" customWidth="1"/>
    <col min="4357" max="4357" width="10" style="9" customWidth="1"/>
    <col min="4358" max="4358" width="15" style="9" customWidth="1"/>
    <col min="4359" max="4359" width="10.625" style="9" bestFit="1" customWidth="1"/>
    <col min="4360" max="4609" width="10" style="9"/>
    <col min="4610" max="4610" width="12" style="9" customWidth="1"/>
    <col min="4611" max="4611" width="8.5" style="9" customWidth="1"/>
    <col min="4612" max="4612" width="36.375" style="9" customWidth="1"/>
    <col min="4613" max="4613" width="10" style="9" customWidth="1"/>
    <col min="4614" max="4614" width="15" style="9" customWidth="1"/>
    <col min="4615" max="4615" width="10.625" style="9" bestFit="1" customWidth="1"/>
    <col min="4616" max="4865" width="10" style="9"/>
    <col min="4866" max="4866" width="12" style="9" customWidth="1"/>
    <col min="4867" max="4867" width="8.5" style="9" customWidth="1"/>
    <col min="4868" max="4868" width="36.375" style="9" customWidth="1"/>
    <col min="4869" max="4869" width="10" style="9" customWidth="1"/>
    <col min="4870" max="4870" width="15" style="9" customWidth="1"/>
    <col min="4871" max="4871" width="10.625" style="9" bestFit="1" customWidth="1"/>
    <col min="4872" max="5121" width="10" style="9"/>
    <col min="5122" max="5122" width="12" style="9" customWidth="1"/>
    <col min="5123" max="5123" width="8.5" style="9" customWidth="1"/>
    <col min="5124" max="5124" width="36.375" style="9" customWidth="1"/>
    <col min="5125" max="5125" width="10" style="9" customWidth="1"/>
    <col min="5126" max="5126" width="15" style="9" customWidth="1"/>
    <col min="5127" max="5127" width="10.625" style="9" bestFit="1" customWidth="1"/>
    <col min="5128" max="5377" width="10" style="9"/>
    <col min="5378" max="5378" width="12" style="9" customWidth="1"/>
    <col min="5379" max="5379" width="8.5" style="9" customWidth="1"/>
    <col min="5380" max="5380" width="36.375" style="9" customWidth="1"/>
    <col min="5381" max="5381" width="10" style="9" customWidth="1"/>
    <col min="5382" max="5382" width="15" style="9" customWidth="1"/>
    <col min="5383" max="5383" width="10.625" style="9" bestFit="1" customWidth="1"/>
    <col min="5384" max="5633" width="10" style="9"/>
    <col min="5634" max="5634" width="12" style="9" customWidth="1"/>
    <col min="5635" max="5635" width="8.5" style="9" customWidth="1"/>
    <col min="5636" max="5636" width="36.375" style="9" customWidth="1"/>
    <col min="5637" max="5637" width="10" style="9" customWidth="1"/>
    <col min="5638" max="5638" width="15" style="9" customWidth="1"/>
    <col min="5639" max="5639" width="10.625" style="9" bestFit="1" customWidth="1"/>
    <col min="5640" max="5889" width="10" style="9"/>
    <col min="5890" max="5890" width="12" style="9" customWidth="1"/>
    <col min="5891" max="5891" width="8.5" style="9" customWidth="1"/>
    <col min="5892" max="5892" width="36.375" style="9" customWidth="1"/>
    <col min="5893" max="5893" width="10" style="9" customWidth="1"/>
    <col min="5894" max="5894" width="15" style="9" customWidth="1"/>
    <col min="5895" max="5895" width="10.625" style="9" bestFit="1" customWidth="1"/>
    <col min="5896" max="6145" width="10" style="9"/>
    <col min="6146" max="6146" width="12" style="9" customWidth="1"/>
    <col min="6147" max="6147" width="8.5" style="9" customWidth="1"/>
    <col min="6148" max="6148" width="36.375" style="9" customWidth="1"/>
    <col min="6149" max="6149" width="10" style="9" customWidth="1"/>
    <col min="6150" max="6150" width="15" style="9" customWidth="1"/>
    <col min="6151" max="6151" width="10.625" style="9" bestFit="1" customWidth="1"/>
    <col min="6152" max="6401" width="10" style="9"/>
    <col min="6402" max="6402" width="12" style="9" customWidth="1"/>
    <col min="6403" max="6403" width="8.5" style="9" customWidth="1"/>
    <col min="6404" max="6404" width="36.375" style="9" customWidth="1"/>
    <col min="6405" max="6405" width="10" style="9" customWidth="1"/>
    <col min="6406" max="6406" width="15" style="9" customWidth="1"/>
    <col min="6407" max="6407" width="10.625" style="9" bestFit="1" customWidth="1"/>
    <col min="6408" max="6657" width="10" style="9"/>
    <col min="6658" max="6658" width="12" style="9" customWidth="1"/>
    <col min="6659" max="6659" width="8.5" style="9" customWidth="1"/>
    <col min="6660" max="6660" width="36.375" style="9" customWidth="1"/>
    <col min="6661" max="6661" width="10" style="9" customWidth="1"/>
    <col min="6662" max="6662" width="15" style="9" customWidth="1"/>
    <col min="6663" max="6663" width="10.625" style="9" bestFit="1" customWidth="1"/>
    <col min="6664" max="6913" width="10" style="9"/>
    <col min="6914" max="6914" width="12" style="9" customWidth="1"/>
    <col min="6915" max="6915" width="8.5" style="9" customWidth="1"/>
    <col min="6916" max="6916" width="36.375" style="9" customWidth="1"/>
    <col min="6917" max="6917" width="10" style="9" customWidth="1"/>
    <col min="6918" max="6918" width="15" style="9" customWidth="1"/>
    <col min="6919" max="6919" width="10.625" style="9" bestFit="1" customWidth="1"/>
    <col min="6920" max="7169" width="10" style="9"/>
    <col min="7170" max="7170" width="12" style="9" customWidth="1"/>
    <col min="7171" max="7171" width="8.5" style="9" customWidth="1"/>
    <col min="7172" max="7172" width="36.375" style="9" customWidth="1"/>
    <col min="7173" max="7173" width="10" style="9" customWidth="1"/>
    <col min="7174" max="7174" width="15" style="9" customWidth="1"/>
    <col min="7175" max="7175" width="10.625" style="9" bestFit="1" customWidth="1"/>
    <col min="7176" max="7425" width="10" style="9"/>
    <col min="7426" max="7426" width="12" style="9" customWidth="1"/>
    <col min="7427" max="7427" width="8.5" style="9" customWidth="1"/>
    <col min="7428" max="7428" width="36.375" style="9" customWidth="1"/>
    <col min="7429" max="7429" width="10" style="9" customWidth="1"/>
    <col min="7430" max="7430" width="15" style="9" customWidth="1"/>
    <col min="7431" max="7431" width="10.625" style="9" bestFit="1" customWidth="1"/>
    <col min="7432" max="7681" width="10" style="9"/>
    <col min="7682" max="7682" width="12" style="9" customWidth="1"/>
    <col min="7683" max="7683" width="8.5" style="9" customWidth="1"/>
    <col min="7684" max="7684" width="36.375" style="9" customWidth="1"/>
    <col min="7685" max="7685" width="10" style="9" customWidth="1"/>
    <col min="7686" max="7686" width="15" style="9" customWidth="1"/>
    <col min="7687" max="7687" width="10.625" style="9" bestFit="1" customWidth="1"/>
    <col min="7688" max="7937" width="10" style="9"/>
    <col min="7938" max="7938" width="12" style="9" customWidth="1"/>
    <col min="7939" max="7939" width="8.5" style="9" customWidth="1"/>
    <col min="7940" max="7940" width="36.375" style="9" customWidth="1"/>
    <col min="7941" max="7941" width="10" style="9" customWidth="1"/>
    <col min="7942" max="7942" width="15" style="9" customWidth="1"/>
    <col min="7943" max="7943" width="10.625" style="9" bestFit="1" customWidth="1"/>
    <col min="7944" max="8193" width="10" style="9"/>
    <col min="8194" max="8194" width="12" style="9" customWidth="1"/>
    <col min="8195" max="8195" width="8.5" style="9" customWidth="1"/>
    <col min="8196" max="8196" width="36.375" style="9" customWidth="1"/>
    <col min="8197" max="8197" width="10" style="9" customWidth="1"/>
    <col min="8198" max="8198" width="15" style="9" customWidth="1"/>
    <col min="8199" max="8199" width="10.625" style="9" bestFit="1" customWidth="1"/>
    <col min="8200" max="8449" width="10" style="9"/>
    <col min="8450" max="8450" width="12" style="9" customWidth="1"/>
    <col min="8451" max="8451" width="8.5" style="9" customWidth="1"/>
    <col min="8452" max="8452" width="36.375" style="9" customWidth="1"/>
    <col min="8453" max="8453" width="10" style="9" customWidth="1"/>
    <col min="8454" max="8454" width="15" style="9" customWidth="1"/>
    <col min="8455" max="8455" width="10.625" style="9" bestFit="1" customWidth="1"/>
    <col min="8456" max="8705" width="10" style="9"/>
    <col min="8706" max="8706" width="12" style="9" customWidth="1"/>
    <col min="8707" max="8707" width="8.5" style="9" customWidth="1"/>
    <col min="8708" max="8708" width="36.375" style="9" customWidth="1"/>
    <col min="8709" max="8709" width="10" style="9" customWidth="1"/>
    <col min="8710" max="8710" width="15" style="9" customWidth="1"/>
    <col min="8711" max="8711" width="10.625" style="9" bestFit="1" customWidth="1"/>
    <col min="8712" max="8961" width="10" style="9"/>
    <col min="8962" max="8962" width="12" style="9" customWidth="1"/>
    <col min="8963" max="8963" width="8.5" style="9" customWidth="1"/>
    <col min="8964" max="8964" width="36.375" style="9" customWidth="1"/>
    <col min="8965" max="8965" width="10" style="9" customWidth="1"/>
    <col min="8966" max="8966" width="15" style="9" customWidth="1"/>
    <col min="8967" max="8967" width="10.625" style="9" bestFit="1" customWidth="1"/>
    <col min="8968" max="9217" width="10" style="9"/>
    <col min="9218" max="9218" width="12" style="9" customWidth="1"/>
    <col min="9219" max="9219" width="8.5" style="9" customWidth="1"/>
    <col min="9220" max="9220" width="36.375" style="9" customWidth="1"/>
    <col min="9221" max="9221" width="10" style="9" customWidth="1"/>
    <col min="9222" max="9222" width="15" style="9" customWidth="1"/>
    <col min="9223" max="9223" width="10.625" style="9" bestFit="1" customWidth="1"/>
    <col min="9224" max="9473" width="10" style="9"/>
    <col min="9474" max="9474" width="12" style="9" customWidth="1"/>
    <col min="9475" max="9475" width="8.5" style="9" customWidth="1"/>
    <col min="9476" max="9476" width="36.375" style="9" customWidth="1"/>
    <col min="9477" max="9477" width="10" style="9" customWidth="1"/>
    <col min="9478" max="9478" width="15" style="9" customWidth="1"/>
    <col min="9479" max="9479" width="10.625" style="9" bestFit="1" customWidth="1"/>
    <col min="9480" max="9729" width="10" style="9"/>
    <col min="9730" max="9730" width="12" style="9" customWidth="1"/>
    <col min="9731" max="9731" width="8.5" style="9" customWidth="1"/>
    <col min="9732" max="9732" width="36.375" style="9" customWidth="1"/>
    <col min="9733" max="9733" width="10" style="9" customWidth="1"/>
    <col min="9734" max="9734" width="15" style="9" customWidth="1"/>
    <col min="9735" max="9735" width="10.625" style="9" bestFit="1" customWidth="1"/>
    <col min="9736" max="9985" width="10" style="9"/>
    <col min="9986" max="9986" width="12" style="9" customWidth="1"/>
    <col min="9987" max="9987" width="8.5" style="9" customWidth="1"/>
    <col min="9988" max="9988" width="36.375" style="9" customWidth="1"/>
    <col min="9989" max="9989" width="10" style="9" customWidth="1"/>
    <col min="9990" max="9990" width="15" style="9" customWidth="1"/>
    <col min="9991" max="9991" width="10.625" style="9" bestFit="1" customWidth="1"/>
    <col min="9992" max="10241" width="10" style="9"/>
    <col min="10242" max="10242" width="12" style="9" customWidth="1"/>
    <col min="10243" max="10243" width="8.5" style="9" customWidth="1"/>
    <col min="10244" max="10244" width="36.375" style="9" customWidth="1"/>
    <col min="10245" max="10245" width="10" style="9" customWidth="1"/>
    <col min="10246" max="10246" width="15" style="9" customWidth="1"/>
    <col min="10247" max="10247" width="10.625" style="9" bestFit="1" customWidth="1"/>
    <col min="10248" max="10497" width="10" style="9"/>
    <col min="10498" max="10498" width="12" style="9" customWidth="1"/>
    <col min="10499" max="10499" width="8.5" style="9" customWidth="1"/>
    <col min="10500" max="10500" width="36.375" style="9" customWidth="1"/>
    <col min="10501" max="10501" width="10" style="9" customWidth="1"/>
    <col min="10502" max="10502" width="15" style="9" customWidth="1"/>
    <col min="10503" max="10503" width="10.625" style="9" bestFit="1" customWidth="1"/>
    <col min="10504" max="10753" width="10" style="9"/>
    <col min="10754" max="10754" width="12" style="9" customWidth="1"/>
    <col min="10755" max="10755" width="8.5" style="9" customWidth="1"/>
    <col min="10756" max="10756" width="36.375" style="9" customWidth="1"/>
    <col min="10757" max="10757" width="10" style="9" customWidth="1"/>
    <col min="10758" max="10758" width="15" style="9" customWidth="1"/>
    <col min="10759" max="10759" width="10.625" style="9" bestFit="1" customWidth="1"/>
    <col min="10760" max="11009" width="10" style="9"/>
    <col min="11010" max="11010" width="12" style="9" customWidth="1"/>
    <col min="11011" max="11011" width="8.5" style="9" customWidth="1"/>
    <col min="11012" max="11012" width="36.375" style="9" customWidth="1"/>
    <col min="11013" max="11013" width="10" style="9" customWidth="1"/>
    <col min="11014" max="11014" width="15" style="9" customWidth="1"/>
    <col min="11015" max="11015" width="10.625" style="9" bestFit="1" customWidth="1"/>
    <col min="11016" max="11265" width="10" style="9"/>
    <col min="11266" max="11266" width="12" style="9" customWidth="1"/>
    <col min="11267" max="11267" width="8.5" style="9" customWidth="1"/>
    <col min="11268" max="11268" width="36.375" style="9" customWidth="1"/>
    <col min="11269" max="11269" width="10" style="9" customWidth="1"/>
    <col min="11270" max="11270" width="15" style="9" customWidth="1"/>
    <col min="11271" max="11271" width="10.625" style="9" bestFit="1" customWidth="1"/>
    <col min="11272" max="11521" width="10" style="9"/>
    <col min="11522" max="11522" width="12" style="9" customWidth="1"/>
    <col min="11523" max="11523" width="8.5" style="9" customWidth="1"/>
    <col min="11524" max="11524" width="36.375" style="9" customWidth="1"/>
    <col min="11525" max="11525" width="10" style="9" customWidth="1"/>
    <col min="11526" max="11526" width="15" style="9" customWidth="1"/>
    <col min="11527" max="11527" width="10.625" style="9" bestFit="1" customWidth="1"/>
    <col min="11528" max="11777" width="10" style="9"/>
    <col min="11778" max="11778" width="12" style="9" customWidth="1"/>
    <col min="11779" max="11779" width="8.5" style="9" customWidth="1"/>
    <col min="11780" max="11780" width="36.375" style="9" customWidth="1"/>
    <col min="11781" max="11781" width="10" style="9" customWidth="1"/>
    <col min="11782" max="11782" width="15" style="9" customWidth="1"/>
    <col min="11783" max="11783" width="10.625" style="9" bestFit="1" customWidth="1"/>
    <col min="11784" max="12033" width="10" style="9"/>
    <col min="12034" max="12034" width="12" style="9" customWidth="1"/>
    <col min="12035" max="12035" width="8.5" style="9" customWidth="1"/>
    <col min="12036" max="12036" width="36.375" style="9" customWidth="1"/>
    <col min="12037" max="12037" width="10" style="9" customWidth="1"/>
    <col min="12038" max="12038" width="15" style="9" customWidth="1"/>
    <col min="12039" max="12039" width="10.625" style="9" bestFit="1" customWidth="1"/>
    <col min="12040" max="12289" width="10" style="9"/>
    <col min="12290" max="12290" width="12" style="9" customWidth="1"/>
    <col min="12291" max="12291" width="8.5" style="9" customWidth="1"/>
    <col min="12292" max="12292" width="36.375" style="9" customWidth="1"/>
    <col min="12293" max="12293" width="10" style="9" customWidth="1"/>
    <col min="12294" max="12294" width="15" style="9" customWidth="1"/>
    <col min="12295" max="12295" width="10.625" style="9" bestFit="1" customWidth="1"/>
    <col min="12296" max="12545" width="10" style="9"/>
    <col min="12546" max="12546" width="12" style="9" customWidth="1"/>
    <col min="12547" max="12547" width="8.5" style="9" customWidth="1"/>
    <col min="12548" max="12548" width="36.375" style="9" customWidth="1"/>
    <col min="12549" max="12549" width="10" style="9" customWidth="1"/>
    <col min="12550" max="12550" width="15" style="9" customWidth="1"/>
    <col min="12551" max="12551" width="10.625" style="9" bestFit="1" customWidth="1"/>
    <col min="12552" max="12801" width="10" style="9"/>
    <col min="12802" max="12802" width="12" style="9" customWidth="1"/>
    <col min="12803" max="12803" width="8.5" style="9" customWidth="1"/>
    <col min="12804" max="12804" width="36.375" style="9" customWidth="1"/>
    <col min="12805" max="12805" width="10" style="9" customWidth="1"/>
    <col min="12806" max="12806" width="15" style="9" customWidth="1"/>
    <col min="12807" max="12807" width="10.625" style="9" bestFit="1" customWidth="1"/>
    <col min="12808" max="13057" width="10" style="9"/>
    <col min="13058" max="13058" width="12" style="9" customWidth="1"/>
    <col min="13059" max="13059" width="8.5" style="9" customWidth="1"/>
    <col min="13060" max="13060" width="36.375" style="9" customWidth="1"/>
    <col min="13061" max="13061" width="10" style="9" customWidth="1"/>
    <col min="13062" max="13062" width="15" style="9" customWidth="1"/>
    <col min="13063" max="13063" width="10.625" style="9" bestFit="1" customWidth="1"/>
    <col min="13064" max="13313" width="10" style="9"/>
    <col min="13314" max="13314" width="12" style="9" customWidth="1"/>
    <col min="13315" max="13315" width="8.5" style="9" customWidth="1"/>
    <col min="13316" max="13316" width="36.375" style="9" customWidth="1"/>
    <col min="13317" max="13317" width="10" style="9" customWidth="1"/>
    <col min="13318" max="13318" width="15" style="9" customWidth="1"/>
    <col min="13319" max="13319" width="10.625" style="9" bestFit="1" customWidth="1"/>
    <col min="13320" max="13569" width="10" style="9"/>
    <col min="13570" max="13570" width="12" style="9" customWidth="1"/>
    <col min="13571" max="13571" width="8.5" style="9" customWidth="1"/>
    <col min="13572" max="13572" width="36.375" style="9" customWidth="1"/>
    <col min="13573" max="13573" width="10" style="9" customWidth="1"/>
    <col min="13574" max="13574" width="15" style="9" customWidth="1"/>
    <col min="13575" max="13575" width="10.625" style="9" bestFit="1" customWidth="1"/>
    <col min="13576" max="13825" width="10" style="9"/>
    <col min="13826" max="13826" width="12" style="9" customWidth="1"/>
    <col min="13827" max="13827" width="8.5" style="9" customWidth="1"/>
    <col min="13828" max="13828" width="36.375" style="9" customWidth="1"/>
    <col min="13829" max="13829" width="10" style="9" customWidth="1"/>
    <col min="13830" max="13830" width="15" style="9" customWidth="1"/>
    <col min="13831" max="13831" width="10.625" style="9" bestFit="1" customWidth="1"/>
    <col min="13832" max="14081" width="10" style="9"/>
    <col min="14082" max="14082" width="12" style="9" customWidth="1"/>
    <col min="14083" max="14083" width="8.5" style="9" customWidth="1"/>
    <col min="14084" max="14084" width="36.375" style="9" customWidth="1"/>
    <col min="14085" max="14085" width="10" style="9" customWidth="1"/>
    <col min="14086" max="14086" width="15" style="9" customWidth="1"/>
    <col min="14087" max="14087" width="10.625" style="9" bestFit="1" customWidth="1"/>
    <col min="14088" max="14337" width="10" style="9"/>
    <col min="14338" max="14338" width="12" style="9" customWidth="1"/>
    <col min="14339" max="14339" width="8.5" style="9" customWidth="1"/>
    <col min="14340" max="14340" width="36.375" style="9" customWidth="1"/>
    <col min="14341" max="14341" width="10" style="9" customWidth="1"/>
    <col min="14342" max="14342" width="15" style="9" customWidth="1"/>
    <col min="14343" max="14343" width="10.625" style="9" bestFit="1" customWidth="1"/>
    <col min="14344" max="14593" width="10" style="9"/>
    <col min="14594" max="14594" width="12" style="9" customWidth="1"/>
    <col min="14595" max="14595" width="8.5" style="9" customWidth="1"/>
    <col min="14596" max="14596" width="36.375" style="9" customWidth="1"/>
    <col min="14597" max="14597" width="10" style="9" customWidth="1"/>
    <col min="14598" max="14598" width="15" style="9" customWidth="1"/>
    <col min="14599" max="14599" width="10.625" style="9" bestFit="1" customWidth="1"/>
    <col min="14600" max="14849" width="10" style="9"/>
    <col min="14850" max="14850" width="12" style="9" customWidth="1"/>
    <col min="14851" max="14851" width="8.5" style="9" customWidth="1"/>
    <col min="14852" max="14852" width="36.375" style="9" customWidth="1"/>
    <col min="14853" max="14853" width="10" style="9" customWidth="1"/>
    <col min="14854" max="14854" width="15" style="9" customWidth="1"/>
    <col min="14855" max="14855" width="10.625" style="9" bestFit="1" customWidth="1"/>
    <col min="14856" max="15105" width="10" style="9"/>
    <col min="15106" max="15106" width="12" style="9" customWidth="1"/>
    <col min="15107" max="15107" width="8.5" style="9" customWidth="1"/>
    <col min="15108" max="15108" width="36.375" style="9" customWidth="1"/>
    <col min="15109" max="15109" width="10" style="9" customWidth="1"/>
    <col min="15110" max="15110" width="15" style="9" customWidth="1"/>
    <col min="15111" max="15111" width="10.625" style="9" bestFit="1" customWidth="1"/>
    <col min="15112" max="15361" width="10" style="9"/>
    <col min="15362" max="15362" width="12" style="9" customWidth="1"/>
    <col min="15363" max="15363" width="8.5" style="9" customWidth="1"/>
    <col min="15364" max="15364" width="36.375" style="9" customWidth="1"/>
    <col min="15365" max="15365" width="10" style="9" customWidth="1"/>
    <col min="15366" max="15366" width="15" style="9" customWidth="1"/>
    <col min="15367" max="15367" width="10.625" style="9" bestFit="1" customWidth="1"/>
    <col min="15368" max="15617" width="10" style="9"/>
    <col min="15618" max="15618" width="12" style="9" customWidth="1"/>
    <col min="15619" max="15619" width="8.5" style="9" customWidth="1"/>
    <col min="15620" max="15620" width="36.375" style="9" customWidth="1"/>
    <col min="15621" max="15621" width="10" style="9" customWidth="1"/>
    <col min="15622" max="15622" width="15" style="9" customWidth="1"/>
    <col min="15623" max="15623" width="10.625" style="9" bestFit="1" customWidth="1"/>
    <col min="15624" max="15873" width="10" style="9"/>
    <col min="15874" max="15874" width="12" style="9" customWidth="1"/>
    <col min="15875" max="15875" width="8.5" style="9" customWidth="1"/>
    <col min="15876" max="15876" width="36.375" style="9" customWidth="1"/>
    <col min="15877" max="15877" width="10" style="9" customWidth="1"/>
    <col min="15878" max="15878" width="15" style="9" customWidth="1"/>
    <col min="15879" max="15879" width="10.625" style="9" bestFit="1" customWidth="1"/>
    <col min="15880" max="16129" width="10" style="9"/>
    <col min="16130" max="16130" width="12" style="9" customWidth="1"/>
    <col min="16131" max="16131" width="8.5" style="9" customWidth="1"/>
    <col min="16132" max="16132" width="36.375" style="9" customWidth="1"/>
    <col min="16133" max="16133" width="10" style="9" customWidth="1"/>
    <col min="16134" max="16134" width="15" style="9" customWidth="1"/>
    <col min="16135" max="16135" width="10.625" style="9" bestFit="1" customWidth="1"/>
    <col min="16136" max="16384" width="10" style="9"/>
  </cols>
  <sheetData>
    <row r="1" spans="2:13" ht="15" thickBot="1" x14ac:dyDescent="0.25"/>
    <row r="2" spans="2:13" ht="15" customHeight="1" x14ac:dyDescent="0.2">
      <c r="B2" s="235"/>
      <c r="C2" s="236"/>
      <c r="D2" s="236"/>
      <c r="E2" s="236"/>
      <c r="F2" s="237"/>
    </row>
    <row r="3" spans="2:13" ht="72" customHeight="1" thickBot="1" x14ac:dyDescent="0.25">
      <c r="B3" s="238"/>
      <c r="C3" s="239"/>
      <c r="D3" s="239"/>
      <c r="E3" s="239"/>
      <c r="F3" s="240"/>
    </row>
    <row r="4" spans="2:13" ht="20.25" customHeight="1" thickBot="1" x14ac:dyDescent="0.25">
      <c r="B4" s="241" t="s">
        <v>97</v>
      </c>
      <c r="C4" s="242"/>
      <c r="D4" s="242"/>
      <c r="E4" s="242"/>
      <c r="F4" s="243"/>
    </row>
    <row r="5" spans="2:13" ht="27.75" customHeight="1" x14ac:dyDescent="0.2">
      <c r="B5" s="244"/>
      <c r="C5" s="245"/>
      <c r="D5" s="245"/>
      <c r="E5" s="245"/>
      <c r="F5" s="246"/>
    </row>
    <row r="6" spans="2:13" s="14" customFormat="1" ht="20.100000000000001" customHeight="1" x14ac:dyDescent="0.2">
      <c r="B6" s="11"/>
      <c r="C6" s="12"/>
      <c r="D6" s="12"/>
      <c r="E6" s="12"/>
      <c r="F6" s="13"/>
      <c r="G6" s="9"/>
      <c r="H6" s="9"/>
      <c r="I6" s="9"/>
      <c r="M6" s="15" t="e">
        <f>#REF!</f>
        <v>#REF!</v>
      </c>
    </row>
    <row r="7" spans="2:13" s="14" customFormat="1" ht="20.100000000000001" customHeight="1" x14ac:dyDescent="0.2">
      <c r="B7" s="16" t="s">
        <v>98</v>
      </c>
      <c r="C7" s="25" t="s">
        <v>99</v>
      </c>
      <c r="D7" s="12"/>
      <c r="E7" s="12"/>
      <c r="F7" s="13"/>
      <c r="G7" s="9"/>
      <c r="H7" s="9"/>
      <c r="I7" s="9"/>
    </row>
    <row r="8" spans="2:13" s="14" customFormat="1" ht="14.25" customHeight="1" x14ac:dyDescent="0.2">
      <c r="B8" s="17"/>
      <c r="C8" s="12"/>
      <c r="D8" s="12"/>
      <c r="E8" s="12"/>
      <c r="F8" s="13"/>
      <c r="G8" s="9"/>
      <c r="H8" s="9"/>
      <c r="I8" s="9"/>
    </row>
    <row r="9" spans="2:13" s="14" customFormat="1" ht="15" customHeight="1" x14ac:dyDescent="0.2">
      <c r="B9" s="17"/>
      <c r="C9" s="12"/>
      <c r="D9" s="12" t="s">
        <v>100</v>
      </c>
      <c r="E9" s="12"/>
      <c r="F9" s="18">
        <v>2.5000000000000001E-2</v>
      </c>
      <c r="G9" s="9"/>
      <c r="H9" s="9"/>
      <c r="I9" s="19"/>
      <c r="M9" s="15" t="e">
        <f>#REF!</f>
        <v>#REF!</v>
      </c>
    </row>
    <row r="10" spans="2:13" s="14" customFormat="1" ht="15" customHeight="1" x14ac:dyDescent="0.2">
      <c r="B10" s="17"/>
      <c r="C10" s="12"/>
      <c r="D10" s="12" t="s">
        <v>101</v>
      </c>
      <c r="E10" s="12"/>
      <c r="F10" s="18">
        <v>6.4999999999999997E-3</v>
      </c>
      <c r="G10" s="9"/>
      <c r="H10" s="9"/>
      <c r="I10" s="19"/>
    </row>
    <row r="11" spans="2:13" s="14" customFormat="1" ht="15" customHeight="1" x14ac:dyDescent="0.2">
      <c r="B11" s="17"/>
      <c r="C11" s="12"/>
      <c r="D11" s="12" t="s">
        <v>102</v>
      </c>
      <c r="E11" s="12"/>
      <c r="F11" s="18">
        <v>0.03</v>
      </c>
      <c r="G11" s="9"/>
      <c r="H11" s="9"/>
      <c r="I11" s="19"/>
    </row>
    <row r="12" spans="2:13" s="14" customFormat="1" ht="15" customHeight="1" x14ac:dyDescent="0.2">
      <c r="B12" s="17"/>
      <c r="C12" s="12"/>
      <c r="D12" s="12" t="s">
        <v>103</v>
      </c>
      <c r="E12" s="12"/>
      <c r="F12" s="18">
        <v>0</v>
      </c>
      <c r="G12" s="9"/>
      <c r="H12" s="9"/>
      <c r="I12" s="19"/>
      <c r="M12" s="15" t="e">
        <f>#REF!</f>
        <v>#REF!</v>
      </c>
    </row>
    <row r="13" spans="2:13" s="20" customFormat="1" ht="15" customHeight="1" x14ac:dyDescent="0.2">
      <c r="B13" s="17"/>
      <c r="C13" s="12"/>
      <c r="D13" s="12" t="s">
        <v>104</v>
      </c>
      <c r="E13" s="12"/>
      <c r="F13" s="18">
        <f>SUM(F9:F12)</f>
        <v>6.1499999999999999E-2</v>
      </c>
      <c r="G13" s="9"/>
      <c r="H13" s="9"/>
      <c r="I13" s="19"/>
    </row>
    <row r="14" spans="2:13" s="14" customFormat="1" ht="20.100000000000001" customHeight="1" x14ac:dyDescent="0.2">
      <c r="B14" s="17"/>
      <c r="C14" s="12"/>
      <c r="D14" s="12"/>
      <c r="E14" s="12"/>
      <c r="F14" s="13"/>
      <c r="G14" s="9"/>
      <c r="H14" s="9"/>
      <c r="I14" s="9"/>
    </row>
    <row r="15" spans="2:13" s="14" customFormat="1" ht="20.100000000000001" customHeight="1" x14ac:dyDescent="0.2">
      <c r="B15" s="16" t="s">
        <v>105</v>
      </c>
      <c r="C15" s="25" t="s">
        <v>106</v>
      </c>
      <c r="D15" s="12"/>
      <c r="E15" s="12"/>
      <c r="F15" s="13"/>
      <c r="G15" s="9"/>
      <c r="H15" s="9"/>
      <c r="I15" s="9"/>
      <c r="M15" s="15" t="e">
        <f>#REF!</f>
        <v>#REF!</v>
      </c>
    </row>
    <row r="16" spans="2:13" s="14" customFormat="1" ht="15" customHeight="1" x14ac:dyDescent="0.2">
      <c r="B16" s="17"/>
      <c r="C16" s="12"/>
      <c r="D16" s="12"/>
      <c r="E16" s="12"/>
      <c r="F16" s="13"/>
      <c r="G16" s="9"/>
      <c r="H16" s="9"/>
      <c r="I16" s="9"/>
    </row>
    <row r="17" spans="2:13" s="14" customFormat="1" ht="15" customHeight="1" x14ac:dyDescent="0.2">
      <c r="B17" s="17"/>
      <c r="C17" s="12"/>
      <c r="D17" s="12" t="s">
        <v>107</v>
      </c>
      <c r="E17" s="12"/>
      <c r="F17" s="18">
        <v>3.7999999999999999E-2</v>
      </c>
      <c r="G17" s="9"/>
      <c r="H17" s="9"/>
      <c r="I17" s="9"/>
    </row>
    <row r="18" spans="2:13" s="14" customFormat="1" ht="15" customHeight="1" x14ac:dyDescent="0.2">
      <c r="B18" s="17"/>
      <c r="C18" s="12"/>
      <c r="D18" s="12"/>
      <c r="E18" s="12"/>
      <c r="F18" s="18"/>
      <c r="G18" s="9"/>
      <c r="H18" s="9"/>
      <c r="I18" s="9"/>
      <c r="M18" s="15" t="e">
        <f>#REF!</f>
        <v>#REF!</v>
      </c>
    </row>
    <row r="19" spans="2:13" s="14" customFormat="1" ht="20.100000000000001" customHeight="1" x14ac:dyDescent="0.2">
      <c r="B19" s="16" t="s">
        <v>105</v>
      </c>
      <c r="C19" s="25" t="s">
        <v>108</v>
      </c>
      <c r="D19" s="12"/>
      <c r="E19" s="12"/>
      <c r="F19" s="13"/>
      <c r="G19" s="9"/>
      <c r="H19" s="9"/>
      <c r="I19" s="9"/>
    </row>
    <row r="20" spans="2:13" s="14" customFormat="1" ht="15" customHeight="1" x14ac:dyDescent="0.2">
      <c r="B20" s="17"/>
      <c r="C20" s="12"/>
      <c r="D20" s="12"/>
      <c r="E20" s="12"/>
      <c r="F20" s="13"/>
      <c r="G20" s="9"/>
      <c r="H20" s="9"/>
      <c r="I20" s="9"/>
    </row>
    <row r="21" spans="2:13" s="14" customFormat="1" ht="15" customHeight="1" x14ac:dyDescent="0.2">
      <c r="B21" s="17"/>
      <c r="C21" s="12"/>
      <c r="D21" s="12" t="s">
        <v>109</v>
      </c>
      <c r="E21" s="12"/>
      <c r="F21" s="18">
        <v>5.0000000000000001E-3</v>
      </c>
      <c r="G21" s="9"/>
      <c r="H21" s="19"/>
      <c r="I21" s="9"/>
      <c r="M21" s="15" t="e">
        <f>#REF!</f>
        <v>#REF!</v>
      </c>
    </row>
    <row r="22" spans="2:13" s="14" customFormat="1" ht="15" customHeight="1" x14ac:dyDescent="0.2">
      <c r="B22" s="17"/>
      <c r="C22" s="12"/>
      <c r="D22" s="12" t="s">
        <v>110</v>
      </c>
      <c r="E22" s="12"/>
      <c r="F22" s="18">
        <v>1.0200000000000001E-2</v>
      </c>
      <c r="G22" s="19"/>
      <c r="H22" s="9"/>
      <c r="I22" s="9"/>
    </row>
    <row r="23" spans="2:13" s="14" customFormat="1" ht="15" customHeight="1" x14ac:dyDescent="0.2">
      <c r="B23" s="17"/>
      <c r="C23" s="12"/>
      <c r="D23" s="12" t="s">
        <v>111</v>
      </c>
      <c r="E23" s="12"/>
      <c r="F23" s="18">
        <v>6.6400000000000001E-2</v>
      </c>
      <c r="G23" s="9"/>
      <c r="H23" s="9"/>
      <c r="I23" s="19"/>
    </row>
    <row r="24" spans="2:13" s="14" customFormat="1" ht="15" customHeight="1" x14ac:dyDescent="0.2">
      <c r="B24" s="17"/>
      <c r="C24" s="12"/>
      <c r="D24" s="12" t="s">
        <v>112</v>
      </c>
      <c r="E24" s="12"/>
      <c r="F24" s="18">
        <v>3.2000000000000002E-3</v>
      </c>
      <c r="G24" s="9"/>
      <c r="H24" s="9"/>
      <c r="I24" s="19"/>
      <c r="M24" s="15" t="e">
        <f>#REF!</f>
        <v>#REF!</v>
      </c>
    </row>
    <row r="25" spans="2:13" s="20" customFormat="1" ht="15" customHeight="1" x14ac:dyDescent="0.2">
      <c r="B25" s="17"/>
      <c r="C25" s="12"/>
      <c r="D25" s="12"/>
      <c r="E25" s="12"/>
      <c r="F25" s="18"/>
      <c r="G25" s="9"/>
      <c r="H25" s="9"/>
      <c r="I25" s="19"/>
    </row>
    <row r="26" spans="2:13" s="14" customFormat="1" ht="15" customHeight="1" x14ac:dyDescent="0.2">
      <c r="B26" s="17"/>
      <c r="C26" s="12"/>
      <c r="D26" s="12"/>
      <c r="E26" s="12"/>
      <c r="F26" s="13"/>
      <c r="G26" s="9"/>
      <c r="H26" s="9"/>
      <c r="I26" s="9"/>
    </row>
    <row r="27" spans="2:13" s="14" customFormat="1" ht="15" customHeight="1" x14ac:dyDescent="0.2">
      <c r="B27" s="229" t="s">
        <v>113</v>
      </c>
      <c r="C27" s="230"/>
      <c r="D27" s="230"/>
      <c r="E27" s="230"/>
      <c r="F27" s="231"/>
      <c r="G27" s="9"/>
      <c r="H27" s="9"/>
      <c r="I27" s="9"/>
      <c r="M27" s="15" t="e">
        <f>#REF!</f>
        <v>#REF!</v>
      </c>
    </row>
    <row r="28" spans="2:13" s="14" customFormat="1" ht="15" customHeight="1" x14ac:dyDescent="0.2">
      <c r="B28" s="229" t="s">
        <v>114</v>
      </c>
      <c r="C28" s="230"/>
      <c r="D28" s="230"/>
      <c r="E28" s="230"/>
      <c r="F28" s="231"/>
      <c r="G28" s="9"/>
      <c r="H28" s="9"/>
      <c r="I28" s="9"/>
    </row>
    <row r="29" spans="2:13" s="14" customFormat="1" ht="15" customHeight="1" x14ac:dyDescent="0.2">
      <c r="B29" s="229" t="s">
        <v>115</v>
      </c>
      <c r="C29" s="230"/>
      <c r="D29" s="230"/>
      <c r="E29" s="230"/>
      <c r="F29" s="231"/>
      <c r="G29" s="9"/>
      <c r="H29" s="9"/>
      <c r="I29" s="9"/>
    </row>
    <row r="30" spans="2:13" s="14" customFormat="1" ht="15" customHeight="1" x14ac:dyDescent="0.2">
      <c r="B30" s="17" t="s">
        <v>116</v>
      </c>
      <c r="C30" s="12"/>
      <c r="D30" s="12"/>
      <c r="E30" s="12"/>
      <c r="F30" s="13"/>
      <c r="G30" s="9"/>
      <c r="H30" s="9"/>
      <c r="I30" s="9"/>
    </row>
    <row r="31" spans="2:13" s="14" customFormat="1" ht="15" customHeight="1" x14ac:dyDescent="0.2">
      <c r="B31" s="17" t="s">
        <v>117</v>
      </c>
      <c r="C31" s="12"/>
      <c r="D31" s="12"/>
      <c r="E31" s="12"/>
      <c r="F31" s="13"/>
      <c r="G31" s="9"/>
      <c r="H31" s="9"/>
      <c r="I31" s="9"/>
    </row>
    <row r="32" spans="2:13" s="14" customFormat="1" ht="15" customHeight="1" x14ac:dyDescent="0.2">
      <c r="B32" s="17" t="s">
        <v>118</v>
      </c>
      <c r="C32" s="12"/>
      <c r="D32" s="12"/>
      <c r="E32" s="12"/>
      <c r="F32" s="13"/>
      <c r="G32" s="9"/>
      <c r="H32" s="9"/>
      <c r="I32" s="9"/>
    </row>
    <row r="33" spans="2:9" s="14" customFormat="1" ht="15" customHeight="1" x14ac:dyDescent="0.2">
      <c r="B33" s="17" t="s">
        <v>119</v>
      </c>
      <c r="C33" s="12"/>
      <c r="D33" s="12"/>
      <c r="E33" s="12"/>
      <c r="F33" s="13"/>
      <c r="G33" s="9"/>
      <c r="H33" s="9"/>
      <c r="I33" s="9"/>
    </row>
    <row r="34" spans="2:9" s="14" customFormat="1" ht="15" customHeight="1" x14ac:dyDescent="0.2">
      <c r="B34" s="17" t="s">
        <v>120</v>
      </c>
      <c r="C34" s="12"/>
      <c r="D34" s="12"/>
      <c r="E34" s="12"/>
      <c r="F34" s="13"/>
      <c r="G34" s="9"/>
      <c r="H34" s="9"/>
      <c r="I34" s="9"/>
    </row>
    <row r="35" spans="2:9" s="14" customFormat="1" ht="15" customHeight="1" x14ac:dyDescent="0.2">
      <c r="B35" s="17" t="s">
        <v>121</v>
      </c>
      <c r="C35" s="12"/>
      <c r="D35" s="12"/>
      <c r="E35" s="12"/>
      <c r="F35" s="13"/>
      <c r="G35" s="9"/>
      <c r="H35" s="9"/>
      <c r="I35" s="9"/>
    </row>
    <row r="36" spans="2:9" s="14" customFormat="1" ht="15" customHeight="1" x14ac:dyDescent="0.2">
      <c r="B36" s="17" t="s">
        <v>122</v>
      </c>
      <c r="C36" s="12"/>
      <c r="D36" s="12"/>
      <c r="E36" s="12"/>
      <c r="F36" s="13"/>
      <c r="G36" s="9"/>
      <c r="H36" s="9"/>
      <c r="I36" s="9"/>
    </row>
    <row r="37" spans="2:9" s="14" customFormat="1" ht="15" customHeight="1" x14ac:dyDescent="0.2">
      <c r="B37" s="17" t="s">
        <v>123</v>
      </c>
      <c r="C37" s="12"/>
      <c r="D37" s="12"/>
      <c r="E37" s="12"/>
      <c r="F37" s="13"/>
      <c r="G37" s="9"/>
      <c r="H37" s="9"/>
      <c r="I37" s="9"/>
    </row>
    <row r="38" spans="2:9" s="14" customFormat="1" ht="15" customHeight="1" thickBot="1" x14ac:dyDescent="0.25">
      <c r="B38" s="17"/>
      <c r="C38" s="12"/>
      <c r="D38" s="12"/>
      <c r="E38" s="12"/>
      <c r="F38" s="13"/>
      <c r="G38" s="9"/>
      <c r="H38" s="9"/>
      <c r="I38" s="9"/>
    </row>
    <row r="39" spans="2:9" s="14" customFormat="1" ht="20.100000000000001" customHeight="1" thickBot="1" x14ac:dyDescent="0.25">
      <c r="B39" s="232" t="s">
        <v>124</v>
      </c>
      <c r="C39" s="233"/>
      <c r="D39" s="233"/>
      <c r="E39" s="234"/>
      <c r="F39" s="21">
        <f>TRUNC((((1+F17+F25+F21+F24)*(1+F22)*(1+F23))/(1-F13))-1,4)</f>
        <v>0.2009</v>
      </c>
      <c r="G39" s="22"/>
      <c r="H39" s="9"/>
      <c r="I39" s="9"/>
    </row>
    <row r="40" spans="2:9" s="14" customFormat="1" ht="20.100000000000001" customHeight="1" x14ac:dyDescent="0.2">
      <c r="B40" s="23"/>
      <c r="C40" s="12"/>
      <c r="D40" s="12"/>
      <c r="E40" s="12"/>
      <c r="F40" s="12"/>
      <c r="G40" s="9"/>
      <c r="H40" s="9"/>
      <c r="I40" s="9"/>
    </row>
    <row r="41" spans="2:9" s="14" customFormat="1" ht="15" x14ac:dyDescent="0.2">
      <c r="E41" s="24"/>
    </row>
    <row r="42" spans="2:9" s="14" customFormat="1" ht="15" x14ac:dyDescent="0.2">
      <c r="E42" s="24"/>
    </row>
    <row r="43" spans="2:9" s="14" customFormat="1" ht="15" x14ac:dyDescent="0.2">
      <c r="E43" s="24"/>
    </row>
    <row r="44" spans="2:9" s="14" customFormat="1" ht="15" x14ac:dyDescent="0.2">
      <c r="E44" s="24"/>
    </row>
    <row r="45" spans="2:9" s="14" customFormat="1" ht="15" x14ac:dyDescent="0.2">
      <c r="E45" s="24"/>
    </row>
    <row r="46" spans="2:9" s="14" customFormat="1" ht="15" x14ac:dyDescent="0.2">
      <c r="E46" s="24"/>
    </row>
    <row r="47" spans="2:9" s="14" customFormat="1" ht="15" x14ac:dyDescent="0.2">
      <c r="E47" s="24"/>
    </row>
    <row r="48" spans="2:9" s="14" customFormat="1" ht="15" x14ac:dyDescent="0.2">
      <c r="E48" s="24"/>
    </row>
    <row r="49" spans="5:5" s="14" customFormat="1" ht="15" x14ac:dyDescent="0.2">
      <c r="E49" s="24"/>
    </row>
    <row r="50" spans="5:5" s="14" customFormat="1" ht="15" x14ac:dyDescent="0.2">
      <c r="E50" s="24"/>
    </row>
    <row r="51" spans="5:5" s="14" customFormat="1" ht="15" x14ac:dyDescent="0.2">
      <c r="E51" s="24"/>
    </row>
    <row r="52" spans="5:5" s="14" customFormat="1" ht="15" x14ac:dyDescent="0.2">
      <c r="E52" s="24"/>
    </row>
    <row r="53" spans="5:5" s="14" customFormat="1" ht="15" x14ac:dyDescent="0.2">
      <c r="E53" s="24"/>
    </row>
    <row r="54" spans="5:5" s="14" customFormat="1" ht="15" x14ac:dyDescent="0.2">
      <c r="E54" s="24"/>
    </row>
    <row r="55" spans="5:5" s="14" customFormat="1" ht="15" x14ac:dyDescent="0.2">
      <c r="E55" s="24"/>
    </row>
    <row r="56" spans="5:5" s="14" customFormat="1" ht="15" x14ac:dyDescent="0.2">
      <c r="E56" s="24"/>
    </row>
    <row r="57" spans="5:5" s="14" customFormat="1" ht="15" x14ac:dyDescent="0.2">
      <c r="E57" s="24"/>
    </row>
  </sheetData>
  <mergeCells count="7">
    <mergeCell ref="B29:F29"/>
    <mergeCell ref="B39:E39"/>
    <mergeCell ref="B2:F3"/>
    <mergeCell ref="B4:F4"/>
    <mergeCell ref="B5:F5"/>
    <mergeCell ref="B27:F27"/>
    <mergeCell ref="B28:F28"/>
  </mergeCells>
  <printOptions horizontalCentered="1"/>
  <pageMargins left="0.23622047244094491" right="0.23622047244094491" top="0.51181102362204722" bottom="0.78740157480314965" header="0.31496062992125984" footer="0.31496062992125984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7906-94A4-4AAA-A6EA-E3B42BF5B989}">
  <dimension ref="B1:I17"/>
  <sheetViews>
    <sheetView view="pageBreakPreview" zoomScaleNormal="100" zoomScaleSheetLayoutView="100" workbookViewId="0">
      <selection activeCell="N11" sqref="N11"/>
    </sheetView>
  </sheetViews>
  <sheetFormatPr defaultRowHeight="12.75" x14ac:dyDescent="0.2"/>
  <cols>
    <col min="1" max="2" width="9" style="26"/>
    <col min="3" max="4" width="9" style="27"/>
    <col min="5" max="5" width="38.25" style="26" customWidth="1"/>
    <col min="6" max="6" width="8.875" style="27" customWidth="1"/>
    <col min="7" max="7" width="12.5" style="26" customWidth="1"/>
    <col min="8" max="8" width="11.5" style="26" bestFit="1" customWidth="1"/>
    <col min="9" max="9" width="12.5" style="26" customWidth="1"/>
    <col min="10" max="16384" width="9" style="26"/>
  </cols>
  <sheetData>
    <row r="1" spans="2:9" ht="13.5" thickBot="1" x14ac:dyDescent="0.25"/>
    <row r="2" spans="2:9" x14ac:dyDescent="0.2">
      <c r="B2" s="81"/>
      <c r="C2" s="82"/>
      <c r="D2" s="82"/>
      <c r="E2" s="83"/>
      <c r="F2" s="82"/>
      <c r="G2" s="83"/>
      <c r="H2" s="83"/>
      <c r="I2" s="84"/>
    </row>
    <row r="3" spans="2:9" x14ac:dyDescent="0.2">
      <c r="B3" s="85"/>
      <c r="I3" s="86"/>
    </row>
    <row r="4" spans="2:9" x14ac:dyDescent="0.2">
      <c r="B4" s="85"/>
      <c r="I4" s="86"/>
    </row>
    <row r="5" spans="2:9" x14ac:dyDescent="0.2">
      <c r="B5" s="85"/>
      <c r="I5" s="86"/>
    </row>
    <row r="6" spans="2:9" x14ac:dyDescent="0.2">
      <c r="B6" s="85"/>
      <c r="I6" s="86"/>
    </row>
    <row r="7" spans="2:9" ht="20.25" customHeight="1" thickBot="1" x14ac:dyDescent="0.25">
      <c r="B7" s="85"/>
      <c r="I7" s="86"/>
    </row>
    <row r="8" spans="2:9" x14ac:dyDescent="0.2">
      <c r="B8" s="247" t="s">
        <v>138</v>
      </c>
      <c r="C8" s="248"/>
      <c r="D8" s="248"/>
      <c r="E8" s="248"/>
      <c r="F8" s="248"/>
      <c r="G8" s="248"/>
      <c r="H8" s="248"/>
      <c r="I8" s="249"/>
    </row>
    <row r="9" spans="2:9" ht="13.5" thickBot="1" x14ac:dyDescent="0.25">
      <c r="B9" s="250"/>
      <c r="C9" s="251"/>
      <c r="D9" s="251"/>
      <c r="E9" s="251"/>
      <c r="F9" s="251"/>
      <c r="G9" s="251"/>
      <c r="H9" s="251"/>
      <c r="I9" s="252"/>
    </row>
    <row r="10" spans="2:9" s="27" customFormat="1" ht="24.75" customHeight="1" x14ac:dyDescent="0.2">
      <c r="B10" s="78" t="s">
        <v>76</v>
      </c>
      <c r="C10" s="79" t="s">
        <v>130</v>
      </c>
      <c r="D10" s="79" t="s">
        <v>129</v>
      </c>
      <c r="E10" s="79" t="s">
        <v>77</v>
      </c>
      <c r="F10" s="79" t="s">
        <v>83</v>
      </c>
      <c r="G10" s="79" t="s">
        <v>128</v>
      </c>
      <c r="H10" s="79" t="s">
        <v>127</v>
      </c>
      <c r="I10" s="80" t="s">
        <v>82</v>
      </c>
    </row>
    <row r="11" spans="2:9" s="28" customFormat="1" x14ac:dyDescent="0.2">
      <c r="B11" s="69" t="s">
        <v>131</v>
      </c>
      <c r="C11" s="63" t="s">
        <v>132</v>
      </c>
      <c r="D11" s="63">
        <v>1</v>
      </c>
      <c r="E11" s="64" t="s">
        <v>11</v>
      </c>
      <c r="F11" s="63" t="s">
        <v>12</v>
      </c>
      <c r="G11" s="63"/>
      <c r="H11" s="63"/>
      <c r="I11" s="70">
        <f>SUM(I12:I13)</f>
        <v>59893.2</v>
      </c>
    </row>
    <row r="12" spans="2:9" ht="25.5" x14ac:dyDescent="0.2">
      <c r="B12" s="71"/>
      <c r="C12" s="65" t="s">
        <v>7</v>
      </c>
      <c r="D12" s="65">
        <v>90778</v>
      </c>
      <c r="E12" s="66" t="s">
        <v>126</v>
      </c>
      <c r="F12" s="65" t="s">
        <v>92</v>
      </c>
      <c r="G12" s="67">
        <v>126.7</v>
      </c>
      <c r="H12" s="68">
        <v>216</v>
      </c>
      <c r="I12" s="72">
        <f>TRUNC((G12*H12),2)</f>
        <v>27367.200000000001</v>
      </c>
    </row>
    <row r="13" spans="2:9" ht="25.5" x14ac:dyDescent="0.2">
      <c r="B13" s="71"/>
      <c r="C13" s="65" t="s">
        <v>7</v>
      </c>
      <c r="D13" s="65">
        <v>90776</v>
      </c>
      <c r="E13" s="66" t="s">
        <v>125</v>
      </c>
      <c r="F13" s="65" t="s">
        <v>92</v>
      </c>
      <c r="G13" s="67">
        <v>36.14</v>
      </c>
      <c r="H13" s="68">
        <v>900</v>
      </c>
      <c r="I13" s="72">
        <f>TRUNC((G13*H13),2)</f>
        <v>32526</v>
      </c>
    </row>
    <row r="14" spans="2:9" s="28" customFormat="1" ht="38.25" x14ac:dyDescent="0.2">
      <c r="B14" s="69"/>
      <c r="C14" s="63" t="s">
        <v>132</v>
      </c>
      <c r="D14" s="63">
        <v>2</v>
      </c>
      <c r="E14" s="64" t="s">
        <v>33</v>
      </c>
      <c r="F14" s="63" t="s">
        <v>12</v>
      </c>
      <c r="G14" s="63"/>
      <c r="H14" s="63"/>
      <c r="I14" s="70">
        <f>SUM(I15:I17)</f>
        <v>91.93</v>
      </c>
    </row>
    <row r="15" spans="2:9" ht="25.5" x14ac:dyDescent="0.2">
      <c r="B15" s="71"/>
      <c r="C15" s="65" t="s">
        <v>7</v>
      </c>
      <c r="D15" s="65">
        <v>88316</v>
      </c>
      <c r="E15" s="66" t="s">
        <v>133</v>
      </c>
      <c r="F15" s="65" t="s">
        <v>92</v>
      </c>
      <c r="G15" s="67">
        <v>20.28</v>
      </c>
      <c r="H15" s="68">
        <v>0.4</v>
      </c>
      <c r="I15" s="72">
        <f>TRUNC((G15*H15),2)</f>
        <v>8.11</v>
      </c>
    </row>
    <row r="16" spans="2:9" ht="51" x14ac:dyDescent="0.2">
      <c r="B16" s="71"/>
      <c r="C16" s="65" t="s">
        <v>136</v>
      </c>
      <c r="D16" s="65">
        <v>11950</v>
      </c>
      <c r="E16" s="66" t="s">
        <v>134</v>
      </c>
      <c r="F16" s="65" t="s">
        <v>12</v>
      </c>
      <c r="G16" s="67">
        <v>0.33</v>
      </c>
      <c r="H16" s="68">
        <v>4</v>
      </c>
      <c r="I16" s="72">
        <f>TRUNC((G16*H16),2)</f>
        <v>1.32</v>
      </c>
    </row>
    <row r="17" spans="2:9" ht="26.25" thickBot="1" x14ac:dyDescent="0.25">
      <c r="B17" s="73"/>
      <c r="C17" s="74" t="s">
        <v>136</v>
      </c>
      <c r="D17" s="74">
        <v>13521</v>
      </c>
      <c r="E17" s="75" t="s">
        <v>135</v>
      </c>
      <c r="F17" s="74" t="s">
        <v>12</v>
      </c>
      <c r="G17" s="76">
        <v>82.5</v>
      </c>
      <c r="H17" s="76">
        <v>1</v>
      </c>
      <c r="I17" s="77">
        <f>TRUNC((G17*H17),2)</f>
        <v>82.5</v>
      </c>
    </row>
  </sheetData>
  <mergeCells count="1">
    <mergeCell ref="B8:I9"/>
  </mergeCells>
  <printOptions horizontalCentered="1"/>
  <pageMargins left="0.23622047244094491" right="0.15748031496062992" top="0.78740157480314965" bottom="0.78740157480314965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A214-EF78-4CB2-99D1-850CDB2F531A}">
  <sheetPr>
    <pageSetUpPr fitToPage="1"/>
  </sheetPr>
  <dimension ref="B1:N88"/>
  <sheetViews>
    <sheetView showOutlineSymbols="0" showWhiteSpace="0" view="pageBreakPreview" zoomScale="85" zoomScaleNormal="85" zoomScaleSheetLayoutView="85" workbookViewId="0">
      <selection activeCell="H3" sqref="H3:I3"/>
    </sheetView>
  </sheetViews>
  <sheetFormatPr defaultRowHeight="14.25" x14ac:dyDescent="0.2"/>
  <cols>
    <col min="1" max="1" width="9" style="35"/>
    <col min="2" max="2" width="10" style="35" bestFit="1" customWidth="1"/>
    <col min="3" max="3" width="10" style="29" bestFit="1" customWidth="1"/>
    <col min="4" max="4" width="13.25" style="29" bestFit="1" customWidth="1"/>
    <col min="5" max="5" width="60" style="35" bestFit="1" customWidth="1"/>
    <col min="6" max="6" width="8" style="35" bestFit="1" customWidth="1"/>
    <col min="7" max="7" width="13" style="35" bestFit="1" customWidth="1"/>
    <col min="8" max="9" width="13" style="36" bestFit="1" customWidth="1"/>
    <col min="10" max="10" width="13" style="36" hidden="1" customWidth="1"/>
    <col min="11" max="11" width="13" style="36" bestFit="1" customWidth="1"/>
    <col min="12" max="12" width="13" style="35" bestFit="1" customWidth="1"/>
    <col min="13" max="13" width="13.125" style="35" bestFit="1" customWidth="1"/>
    <col min="14" max="16384" width="9" style="35"/>
  </cols>
  <sheetData>
    <row r="1" spans="2:14" ht="15" thickBot="1" x14ac:dyDescent="0.25"/>
    <row r="2" spans="2:14" ht="15" x14ac:dyDescent="0.2">
      <c r="B2" s="37"/>
      <c r="C2" s="30"/>
      <c r="D2" s="30"/>
      <c r="E2" s="38" t="s">
        <v>146</v>
      </c>
      <c r="F2" s="216" t="s">
        <v>0</v>
      </c>
      <c r="G2" s="216"/>
      <c r="H2" s="217" t="s">
        <v>145</v>
      </c>
      <c r="I2" s="217"/>
      <c r="J2" s="39"/>
      <c r="K2" s="216" t="s">
        <v>1</v>
      </c>
      <c r="L2" s="218"/>
    </row>
    <row r="3" spans="2:14" ht="80.099999999999994" customHeight="1" x14ac:dyDescent="0.2">
      <c r="B3" s="40"/>
      <c r="C3" s="8"/>
      <c r="D3" s="8"/>
      <c r="E3" s="136" t="s">
        <v>139</v>
      </c>
      <c r="F3" s="219" t="s">
        <v>137</v>
      </c>
      <c r="G3" s="219"/>
      <c r="H3" s="220">
        <f>'BDI N DESON '!F39</f>
        <v>0.2009</v>
      </c>
      <c r="I3" s="220"/>
      <c r="J3" s="41"/>
      <c r="K3" s="219" t="s">
        <v>2</v>
      </c>
      <c r="L3" s="221"/>
    </row>
    <row r="4" spans="2:14" ht="18" customHeight="1" x14ac:dyDescent="0.2">
      <c r="B4" s="213" t="s">
        <v>147</v>
      </c>
      <c r="C4" s="214"/>
      <c r="D4" s="214"/>
      <c r="E4" s="214"/>
      <c r="F4" s="214"/>
      <c r="G4" s="214"/>
      <c r="H4" s="214"/>
      <c r="I4" s="214"/>
      <c r="J4" s="214"/>
      <c r="K4" s="214"/>
      <c r="L4" s="215"/>
    </row>
    <row r="5" spans="2:14" s="29" customFormat="1" ht="30" customHeight="1" x14ac:dyDescent="0.2">
      <c r="B5" s="138" t="s">
        <v>76</v>
      </c>
      <c r="C5" s="139" t="s">
        <v>129</v>
      </c>
      <c r="D5" s="140" t="s">
        <v>130</v>
      </c>
      <c r="E5" s="140" t="s">
        <v>77</v>
      </c>
      <c r="F5" s="141" t="s">
        <v>140</v>
      </c>
      <c r="G5" s="139" t="s">
        <v>141</v>
      </c>
      <c r="H5" s="137" t="s">
        <v>142</v>
      </c>
      <c r="I5" s="137" t="s">
        <v>143</v>
      </c>
      <c r="J5" s="137" t="s">
        <v>72</v>
      </c>
      <c r="K5" s="137" t="s">
        <v>82</v>
      </c>
      <c r="L5" s="142" t="s">
        <v>144</v>
      </c>
    </row>
    <row r="6" spans="2:14" ht="24" hidden="1" customHeight="1" x14ac:dyDescent="0.2">
      <c r="B6" s="42" t="s">
        <v>3</v>
      </c>
      <c r="C6" s="31"/>
      <c r="D6" s="31"/>
      <c r="E6" s="43" t="s">
        <v>4</v>
      </c>
      <c r="F6" s="43"/>
      <c r="G6" s="44"/>
      <c r="H6" s="45"/>
      <c r="I6" s="45"/>
      <c r="J6" s="46">
        <f>SUM(J7:J8)</f>
        <v>63005.299999999996</v>
      </c>
      <c r="K6" s="46">
        <f>SUM(K7:K8)</f>
        <v>75387.53</v>
      </c>
      <c r="L6" s="47">
        <f t="shared" ref="L6:L69" si="0">K6/$I$86</f>
        <v>4.781754894563036E-2</v>
      </c>
    </row>
    <row r="7" spans="2:14" ht="39" hidden="1" customHeight="1" x14ac:dyDescent="0.2">
      <c r="B7" s="48" t="s">
        <v>5</v>
      </c>
      <c r="C7" s="49" t="s">
        <v>6</v>
      </c>
      <c r="D7" s="32" t="s">
        <v>7</v>
      </c>
      <c r="E7" s="50" t="s">
        <v>8</v>
      </c>
      <c r="F7" s="51" t="s">
        <v>9</v>
      </c>
      <c r="G7" s="52">
        <f>MC!H21</f>
        <v>10</v>
      </c>
      <c r="H7" s="53">
        <v>311.20999999999998</v>
      </c>
      <c r="I7" s="53">
        <f>TRUNC((H7*($H$3+1)),2)</f>
        <v>373.73</v>
      </c>
      <c r="J7" s="53">
        <f>TRUNC((G7*H7),2)</f>
        <v>3112.1</v>
      </c>
      <c r="K7" s="53">
        <f>TRUNC((G7*I7),2)</f>
        <v>3737.3</v>
      </c>
      <c r="L7" s="54">
        <f t="shared" si="0"/>
        <v>2.3705316472698384E-3</v>
      </c>
    </row>
    <row r="8" spans="2:14" ht="24" hidden="1" customHeight="1" x14ac:dyDescent="0.2">
      <c r="B8" s="48" t="s">
        <v>10</v>
      </c>
      <c r="C8" s="49">
        <f>CPU!D11</f>
        <v>1</v>
      </c>
      <c r="D8" s="32" t="str">
        <f>CPU!C11</f>
        <v>PRÓPRIA</v>
      </c>
      <c r="E8" s="50" t="s">
        <v>11</v>
      </c>
      <c r="F8" s="51" t="s">
        <v>12</v>
      </c>
      <c r="G8" s="52">
        <f>MC!H30</f>
        <v>1</v>
      </c>
      <c r="H8" s="53">
        <v>59893.2</v>
      </c>
      <c r="I8" s="53">
        <f>TRUNC((H8*($H$3+1)),2)</f>
        <v>71925.740000000005</v>
      </c>
      <c r="J8" s="53">
        <f>TRUNC((G8*H8),2)</f>
        <v>59893.2</v>
      </c>
      <c r="K8" s="53">
        <v>71650.23</v>
      </c>
      <c r="L8" s="54">
        <f t="shared" si="0"/>
        <v>4.5447017298360516E-2</v>
      </c>
      <c r="M8" s="147">
        <f>K8/6</f>
        <v>11941.705</v>
      </c>
      <c r="N8" s="148">
        <f>M8/K8</f>
        <v>0.16666666666666669</v>
      </c>
    </row>
    <row r="9" spans="2:14" s="192" customFormat="1" ht="24" customHeight="1" x14ac:dyDescent="0.2">
      <c r="B9" s="185" t="s">
        <v>13</v>
      </c>
      <c r="C9" s="186"/>
      <c r="D9" s="186"/>
      <c r="E9" s="187" t="s">
        <v>14</v>
      </c>
      <c r="F9" s="187"/>
      <c r="G9" s="188"/>
      <c r="H9" s="189"/>
      <c r="I9" s="189"/>
      <c r="J9" s="190">
        <f>SUM(J10:J12)</f>
        <v>273217.24</v>
      </c>
      <c r="K9" s="190">
        <f>SUM(K10:K12)</f>
        <v>328057.94</v>
      </c>
      <c r="L9" s="191">
        <f t="shared" si="0"/>
        <v>0.20808383830790939</v>
      </c>
    </row>
    <row r="10" spans="2:14" ht="26.1" hidden="1" customHeight="1" x14ac:dyDescent="0.2">
      <c r="B10" s="48" t="s">
        <v>15</v>
      </c>
      <c r="C10" s="49" t="s">
        <v>16</v>
      </c>
      <c r="D10" s="32" t="s">
        <v>7</v>
      </c>
      <c r="E10" s="50" t="s">
        <v>17</v>
      </c>
      <c r="F10" s="51" t="s">
        <v>9</v>
      </c>
      <c r="G10" s="52">
        <f>MC!H37</f>
        <v>2500</v>
      </c>
      <c r="H10" s="53">
        <v>0.14000000000000001</v>
      </c>
      <c r="I10" s="53">
        <f>TRUNC((H10*($H$3+1)),2)</f>
        <v>0.16</v>
      </c>
      <c r="J10" s="53">
        <f>TRUNC((G10*H10),2)</f>
        <v>350</v>
      </c>
      <c r="K10" s="53">
        <f>TRUNC((G10*I10),2)</f>
        <v>400</v>
      </c>
      <c r="L10" s="54">
        <f t="shared" si="0"/>
        <v>2.5371596042809925E-4</v>
      </c>
    </row>
    <row r="11" spans="2:14" ht="51.95" hidden="1" customHeight="1" x14ac:dyDescent="0.2">
      <c r="B11" s="48" t="s">
        <v>18</v>
      </c>
      <c r="C11" s="49" t="s">
        <v>19</v>
      </c>
      <c r="D11" s="32" t="s">
        <v>7</v>
      </c>
      <c r="E11" s="50" t="s">
        <v>20</v>
      </c>
      <c r="F11" s="51" t="s">
        <v>21</v>
      </c>
      <c r="G11" s="52">
        <f>MC!H44</f>
        <v>1006</v>
      </c>
      <c r="H11" s="53">
        <v>54.54</v>
      </c>
      <c r="I11" s="53">
        <f>TRUNC((H11*($H$3+1)),2)</f>
        <v>65.489999999999995</v>
      </c>
      <c r="J11" s="53">
        <f>TRUNC((G11*H11),2)</f>
        <v>54867.24</v>
      </c>
      <c r="K11" s="53">
        <f>TRUNC((G11*I11),2)</f>
        <v>65882.94</v>
      </c>
      <c r="L11" s="54">
        <f t="shared" si="0"/>
        <v>4.1788883494817089E-2</v>
      </c>
      <c r="M11" s="145">
        <f>G11+G16+G22+G27+G32+G37+G42+G47+G53+G58+G64+G69+G75+G80</f>
        <v>3946.0000000000005</v>
      </c>
      <c r="N11" s="145">
        <f>M11*0.3</f>
        <v>1183.8000000000002</v>
      </c>
    </row>
    <row r="12" spans="2:14" ht="39" hidden="1" customHeight="1" x14ac:dyDescent="0.2">
      <c r="B12" s="48" t="s">
        <v>22</v>
      </c>
      <c r="C12" s="49" t="s">
        <v>23</v>
      </c>
      <c r="D12" s="32" t="s">
        <v>7</v>
      </c>
      <c r="E12" s="50" t="s">
        <v>24</v>
      </c>
      <c r="F12" s="51" t="s">
        <v>9</v>
      </c>
      <c r="G12" s="52">
        <f>MC!H50</f>
        <v>2500</v>
      </c>
      <c r="H12" s="53">
        <v>87.2</v>
      </c>
      <c r="I12" s="53">
        <f>TRUNC((H12*($H$3+1)),2)</f>
        <v>104.71</v>
      </c>
      <c r="J12" s="53">
        <f>TRUNC((G12*H12),2)</f>
        <v>218000</v>
      </c>
      <c r="K12" s="53">
        <f>TRUNC((G12*I12),2)</f>
        <v>261775</v>
      </c>
      <c r="L12" s="54">
        <f t="shared" si="0"/>
        <v>0.1660412388526642</v>
      </c>
      <c r="M12" s="145">
        <f>G12+G17+G23+G28+G33+G38+G43+G48+G54+G59+G65+G70+G76+G81</f>
        <v>11823.067500000001</v>
      </c>
      <c r="N12" s="145">
        <f>M12*0.3</f>
        <v>3546.9202500000001</v>
      </c>
    </row>
    <row r="13" spans="2:14" ht="24" customHeight="1" x14ac:dyDescent="0.2">
      <c r="B13" s="42" t="s">
        <v>25</v>
      </c>
      <c r="C13" s="31"/>
      <c r="D13" s="31"/>
      <c r="E13" s="43" t="s">
        <v>26</v>
      </c>
      <c r="F13" s="43"/>
      <c r="G13" s="44"/>
      <c r="H13" s="45"/>
      <c r="I13" s="45"/>
      <c r="J13" s="46">
        <f>J14</f>
        <v>88820.66</v>
      </c>
      <c r="K13" s="46">
        <f>K14</f>
        <v>106648.78</v>
      </c>
      <c r="L13" s="47">
        <f t="shared" si="0"/>
        <v>6.7646244115462648E-2</v>
      </c>
    </row>
    <row r="14" spans="2:14" s="192" customFormat="1" ht="24" customHeight="1" x14ac:dyDescent="0.2">
      <c r="B14" s="185" t="s">
        <v>27</v>
      </c>
      <c r="C14" s="186"/>
      <c r="D14" s="186"/>
      <c r="E14" s="187" t="s">
        <v>28</v>
      </c>
      <c r="F14" s="187"/>
      <c r="G14" s="188"/>
      <c r="H14" s="189"/>
      <c r="I14" s="189"/>
      <c r="J14" s="190">
        <f>SUM(J15:J18)</f>
        <v>88820.66</v>
      </c>
      <c r="K14" s="190">
        <f>SUM(K15:K18)</f>
        <v>106648.78</v>
      </c>
      <c r="L14" s="191">
        <f t="shared" si="0"/>
        <v>6.7646244115462648E-2</v>
      </c>
    </row>
    <row r="15" spans="2:14" ht="26.1" hidden="1" customHeight="1" x14ac:dyDescent="0.2">
      <c r="B15" s="48" t="s">
        <v>29</v>
      </c>
      <c r="C15" s="49" t="s">
        <v>16</v>
      </c>
      <c r="D15" s="32" t="s">
        <v>7</v>
      </c>
      <c r="E15" s="50" t="s">
        <v>17</v>
      </c>
      <c r="F15" s="51" t="s">
        <v>9</v>
      </c>
      <c r="G15" s="52">
        <f>MC!H58</f>
        <v>840</v>
      </c>
      <c r="H15" s="53">
        <v>0.14000000000000001</v>
      </c>
      <c r="I15" s="53">
        <f>TRUNC((H15*($H$3+1)),2)</f>
        <v>0.16</v>
      </c>
      <c r="J15" s="53">
        <f>TRUNC((G15*H15),2)</f>
        <v>117.6</v>
      </c>
      <c r="K15" s="53">
        <f>TRUNC((G15*I15),2)</f>
        <v>134.4</v>
      </c>
      <c r="L15" s="54">
        <f t="shared" si="0"/>
        <v>8.5248562703841348E-5</v>
      </c>
    </row>
    <row r="16" spans="2:14" ht="51.95" hidden="1" customHeight="1" x14ac:dyDescent="0.2">
      <c r="B16" s="48" t="s">
        <v>30</v>
      </c>
      <c r="C16" s="49" t="s">
        <v>19</v>
      </c>
      <c r="D16" s="32" t="s">
        <v>7</v>
      </c>
      <c r="E16" s="50" t="s">
        <v>20</v>
      </c>
      <c r="F16" s="51" t="s">
        <v>21</v>
      </c>
      <c r="G16" s="52">
        <f>MC!H64</f>
        <v>280</v>
      </c>
      <c r="H16" s="53">
        <v>54.54</v>
      </c>
      <c r="I16" s="53">
        <f>TRUNC((H16*($H$3+1)),2)</f>
        <v>65.489999999999995</v>
      </c>
      <c r="J16" s="53">
        <f>TRUNC((G16*H16),2)</f>
        <v>15271.2</v>
      </c>
      <c r="K16" s="53">
        <f>TRUNC((G16*I16),2)</f>
        <v>18337.2</v>
      </c>
      <c r="L16" s="54">
        <f t="shared" si="0"/>
        <v>1.1631100773905353E-2</v>
      </c>
    </row>
    <row r="17" spans="2:12" ht="39" hidden="1" customHeight="1" x14ac:dyDescent="0.2">
      <c r="B17" s="48" t="s">
        <v>31</v>
      </c>
      <c r="C17" s="49" t="s">
        <v>23</v>
      </c>
      <c r="D17" s="32" t="s">
        <v>7</v>
      </c>
      <c r="E17" s="50" t="s">
        <v>24</v>
      </c>
      <c r="F17" s="51" t="s">
        <v>9</v>
      </c>
      <c r="G17" s="52">
        <f>MC!H70</f>
        <v>840</v>
      </c>
      <c r="H17" s="53">
        <v>87.2</v>
      </c>
      <c r="I17" s="53">
        <f>TRUNC((H17*($H$3+1)),2)</f>
        <v>104.71</v>
      </c>
      <c r="J17" s="53">
        <f>TRUNC((G17*H17),2)</f>
        <v>73248</v>
      </c>
      <c r="K17" s="53">
        <f>TRUNC((G17*I17),2)</f>
        <v>87956.4</v>
      </c>
      <c r="L17" s="54">
        <f t="shared" si="0"/>
        <v>5.5789856254495167E-2</v>
      </c>
    </row>
    <row r="18" spans="2:12" ht="26.1" hidden="1" customHeight="1" x14ac:dyDescent="0.2">
      <c r="B18" s="48" t="s">
        <v>32</v>
      </c>
      <c r="C18" s="49">
        <v>2</v>
      </c>
      <c r="D18" s="32" t="s">
        <v>132</v>
      </c>
      <c r="E18" s="50" t="s">
        <v>33</v>
      </c>
      <c r="F18" s="51" t="s">
        <v>12</v>
      </c>
      <c r="G18" s="52">
        <f>MC!H76</f>
        <v>2</v>
      </c>
      <c r="H18" s="53">
        <v>91.93</v>
      </c>
      <c r="I18" s="53">
        <f>TRUNC((H18*($H$3+1)),2)</f>
        <v>110.39</v>
      </c>
      <c r="J18" s="53">
        <f>TRUNC((G18*H18),2)</f>
        <v>183.86</v>
      </c>
      <c r="K18" s="53">
        <f>TRUNC((G18*I18),2)</f>
        <v>220.78</v>
      </c>
      <c r="L18" s="54">
        <f t="shared" si="0"/>
        <v>1.4003852435828936E-4</v>
      </c>
    </row>
    <row r="19" spans="2:12" ht="24" customHeight="1" x14ac:dyDescent="0.2">
      <c r="B19" s="42" t="s">
        <v>34</v>
      </c>
      <c r="C19" s="31"/>
      <c r="D19" s="31"/>
      <c r="E19" s="43" t="s">
        <v>35</v>
      </c>
      <c r="F19" s="43"/>
      <c r="G19" s="44"/>
      <c r="H19" s="45"/>
      <c r="I19" s="45"/>
      <c r="J19" s="46">
        <f>J20+J25+J30+J35+J40+J45</f>
        <v>688919.20000000019</v>
      </c>
      <c r="K19" s="46">
        <f>K20+K25+K30+K35+K40+K45</f>
        <v>827199.1</v>
      </c>
      <c r="L19" s="47">
        <f t="shared" si="0"/>
        <v>0.52468403530439822</v>
      </c>
    </row>
    <row r="20" spans="2:12" s="192" customFormat="1" ht="24" customHeight="1" x14ac:dyDescent="0.2">
      <c r="B20" s="185" t="s">
        <v>36</v>
      </c>
      <c r="C20" s="186"/>
      <c r="D20" s="186"/>
      <c r="E20" s="187" t="s">
        <v>37</v>
      </c>
      <c r="F20" s="187"/>
      <c r="G20" s="188"/>
      <c r="H20" s="189"/>
      <c r="I20" s="189"/>
      <c r="J20" s="190">
        <f>SUM(J21:J24)</f>
        <v>264785.3</v>
      </c>
      <c r="K20" s="190">
        <f>SUM(K21:K24)</f>
        <v>317933.02</v>
      </c>
      <c r="L20" s="191">
        <f t="shared" si="0"/>
        <v>0.20166170380276521</v>
      </c>
    </row>
    <row r="21" spans="2:12" ht="26.1" hidden="1" customHeight="1" x14ac:dyDescent="0.2">
      <c r="B21" s="48" t="s">
        <v>38</v>
      </c>
      <c r="C21" s="49" t="s">
        <v>16</v>
      </c>
      <c r="D21" s="32" t="s">
        <v>7</v>
      </c>
      <c r="E21" s="50" t="s">
        <v>17</v>
      </c>
      <c r="F21" s="51" t="s">
        <v>9</v>
      </c>
      <c r="G21" s="52">
        <f>MC!H84</f>
        <v>2520</v>
      </c>
      <c r="H21" s="53">
        <v>0.14000000000000001</v>
      </c>
      <c r="I21" s="53">
        <f>TRUNC((H21*($H$3+1)),2)</f>
        <v>0.16</v>
      </c>
      <c r="J21" s="53">
        <f>TRUNC((G21*H21),2)</f>
        <v>352.8</v>
      </c>
      <c r="K21" s="53">
        <f>TRUNC((G21*I21),2)</f>
        <v>403.2</v>
      </c>
      <c r="L21" s="54">
        <f t="shared" si="0"/>
        <v>2.5574568811152402E-4</v>
      </c>
    </row>
    <row r="22" spans="2:12" ht="51.95" hidden="1" customHeight="1" x14ac:dyDescent="0.2">
      <c r="B22" s="48" t="s">
        <v>39</v>
      </c>
      <c r="C22" s="49" t="s">
        <v>19</v>
      </c>
      <c r="D22" s="32" t="s">
        <v>7</v>
      </c>
      <c r="E22" s="50" t="s">
        <v>20</v>
      </c>
      <c r="F22" s="51" t="s">
        <v>21</v>
      </c>
      <c r="G22" s="52">
        <f>MC!H92</f>
        <v>816</v>
      </c>
      <c r="H22" s="53">
        <v>54.54</v>
      </c>
      <c r="I22" s="53">
        <f t="shared" ref="I22:I49" si="1">TRUNC((H22*($H$3+1)),2)</f>
        <v>65.489999999999995</v>
      </c>
      <c r="J22" s="53">
        <f t="shared" ref="J22:J24" si="2">TRUNC((G22*H22),2)</f>
        <v>44504.639999999999</v>
      </c>
      <c r="K22" s="53">
        <f t="shared" ref="K22:K24" si="3">TRUNC((G22*I22),2)</f>
        <v>53439.839999999997</v>
      </c>
      <c r="L22" s="54">
        <f t="shared" si="0"/>
        <v>3.3896350826809883E-2</v>
      </c>
    </row>
    <row r="23" spans="2:12" ht="39" hidden="1" customHeight="1" x14ac:dyDescent="0.2">
      <c r="B23" s="48" t="s">
        <v>40</v>
      </c>
      <c r="C23" s="49" t="s">
        <v>23</v>
      </c>
      <c r="D23" s="32" t="s">
        <v>7</v>
      </c>
      <c r="E23" s="50" t="s">
        <v>24</v>
      </c>
      <c r="F23" s="51" t="s">
        <v>9</v>
      </c>
      <c r="G23" s="52">
        <f>MC!H98</f>
        <v>2520</v>
      </c>
      <c r="H23" s="53">
        <v>87.2</v>
      </c>
      <c r="I23" s="53">
        <f t="shared" si="1"/>
        <v>104.71</v>
      </c>
      <c r="J23" s="53">
        <f t="shared" si="2"/>
        <v>219744</v>
      </c>
      <c r="K23" s="53">
        <f t="shared" si="3"/>
        <v>263869.2</v>
      </c>
      <c r="L23" s="54">
        <f t="shared" si="0"/>
        <v>0.16736956876348552</v>
      </c>
    </row>
    <row r="24" spans="2:12" ht="26.1" hidden="1" customHeight="1" x14ac:dyDescent="0.2">
      <c r="B24" s="48" t="s">
        <v>41</v>
      </c>
      <c r="C24" s="49">
        <v>2</v>
      </c>
      <c r="D24" s="32" t="s">
        <v>132</v>
      </c>
      <c r="E24" s="50" t="s">
        <v>33</v>
      </c>
      <c r="F24" s="51" t="s">
        <v>12</v>
      </c>
      <c r="G24" s="52">
        <f>MC!H104</f>
        <v>2</v>
      </c>
      <c r="H24" s="53">
        <v>91.93</v>
      </c>
      <c r="I24" s="53">
        <f t="shared" si="1"/>
        <v>110.39</v>
      </c>
      <c r="J24" s="53">
        <f t="shared" si="2"/>
        <v>183.86</v>
      </c>
      <c r="K24" s="53">
        <f t="shared" si="3"/>
        <v>220.78</v>
      </c>
      <c r="L24" s="54">
        <f t="shared" si="0"/>
        <v>1.4003852435828936E-4</v>
      </c>
    </row>
    <row r="25" spans="2:12" s="192" customFormat="1" ht="24" customHeight="1" x14ac:dyDescent="0.2">
      <c r="B25" s="185" t="s">
        <v>42</v>
      </c>
      <c r="C25" s="186"/>
      <c r="D25" s="186"/>
      <c r="E25" s="187" t="s">
        <v>43</v>
      </c>
      <c r="F25" s="187"/>
      <c r="G25" s="188"/>
      <c r="H25" s="189"/>
      <c r="I25" s="189"/>
      <c r="J25" s="190">
        <f>SUM(J26:J29)</f>
        <v>265767.02</v>
      </c>
      <c r="K25" s="190">
        <f>SUM(K26:K29)</f>
        <v>319111.84000000003</v>
      </c>
      <c r="L25" s="191">
        <f t="shared" si="0"/>
        <v>0.20240941742394486</v>
      </c>
    </row>
    <row r="26" spans="2:12" ht="26.1" hidden="1" customHeight="1" x14ac:dyDescent="0.2">
      <c r="B26" s="48" t="s">
        <v>44</v>
      </c>
      <c r="C26" s="49" t="s">
        <v>16</v>
      </c>
      <c r="D26" s="32" t="s">
        <v>7</v>
      </c>
      <c r="E26" s="50" t="s">
        <v>17</v>
      </c>
      <c r="F26" s="51" t="s">
        <v>9</v>
      </c>
      <c r="G26" s="52">
        <f>MC!H111</f>
        <v>2520</v>
      </c>
      <c r="H26" s="53">
        <v>0.14000000000000001</v>
      </c>
      <c r="I26" s="53">
        <f t="shared" si="1"/>
        <v>0.16</v>
      </c>
      <c r="J26" s="53">
        <f t="shared" ref="J26:J29" si="4">TRUNC((G26*H26),2)</f>
        <v>352.8</v>
      </c>
      <c r="K26" s="53">
        <f t="shared" ref="K26:K29" si="5">TRUNC((G26*I26),2)</f>
        <v>403.2</v>
      </c>
      <c r="L26" s="54">
        <f t="shared" si="0"/>
        <v>2.5574568811152402E-4</v>
      </c>
    </row>
    <row r="27" spans="2:12" ht="51.95" hidden="1" customHeight="1" x14ac:dyDescent="0.2">
      <c r="B27" s="48" t="s">
        <v>45</v>
      </c>
      <c r="C27" s="49" t="s">
        <v>19</v>
      </c>
      <c r="D27" s="32" t="s">
        <v>7</v>
      </c>
      <c r="E27" s="50" t="s">
        <v>20</v>
      </c>
      <c r="F27" s="51" t="s">
        <v>21</v>
      </c>
      <c r="G27" s="52">
        <f>MC!H119</f>
        <v>834</v>
      </c>
      <c r="H27" s="53">
        <v>54.54</v>
      </c>
      <c r="I27" s="53">
        <f t="shared" si="1"/>
        <v>65.489999999999995</v>
      </c>
      <c r="J27" s="53">
        <f t="shared" si="4"/>
        <v>45486.36</v>
      </c>
      <c r="K27" s="53">
        <f t="shared" si="5"/>
        <v>54618.66</v>
      </c>
      <c r="L27" s="54">
        <f t="shared" si="0"/>
        <v>3.4644064447989516E-2</v>
      </c>
    </row>
    <row r="28" spans="2:12" ht="39" hidden="1" customHeight="1" x14ac:dyDescent="0.2">
      <c r="B28" s="48" t="s">
        <v>46</v>
      </c>
      <c r="C28" s="49" t="s">
        <v>23</v>
      </c>
      <c r="D28" s="32" t="s">
        <v>7</v>
      </c>
      <c r="E28" s="50" t="s">
        <v>24</v>
      </c>
      <c r="F28" s="51" t="s">
        <v>9</v>
      </c>
      <c r="G28" s="52">
        <f>MC!H125</f>
        <v>2520</v>
      </c>
      <c r="H28" s="53">
        <v>87.2</v>
      </c>
      <c r="I28" s="53">
        <f t="shared" si="1"/>
        <v>104.71</v>
      </c>
      <c r="J28" s="53">
        <f t="shared" si="4"/>
        <v>219744</v>
      </c>
      <c r="K28" s="53">
        <f t="shared" si="5"/>
        <v>263869.2</v>
      </c>
      <c r="L28" s="54">
        <f t="shared" si="0"/>
        <v>0.16736956876348552</v>
      </c>
    </row>
    <row r="29" spans="2:12" ht="26.1" hidden="1" customHeight="1" x14ac:dyDescent="0.2">
      <c r="B29" s="48" t="s">
        <v>47</v>
      </c>
      <c r="C29" s="49">
        <v>2</v>
      </c>
      <c r="D29" s="32" t="s">
        <v>132</v>
      </c>
      <c r="E29" s="50" t="s">
        <v>33</v>
      </c>
      <c r="F29" s="51" t="s">
        <v>12</v>
      </c>
      <c r="G29" s="52">
        <f>MC!H131</f>
        <v>2</v>
      </c>
      <c r="H29" s="53">
        <v>91.93</v>
      </c>
      <c r="I29" s="53">
        <f t="shared" si="1"/>
        <v>110.39</v>
      </c>
      <c r="J29" s="53">
        <f t="shared" si="4"/>
        <v>183.86</v>
      </c>
      <c r="K29" s="53">
        <f t="shared" si="5"/>
        <v>220.78</v>
      </c>
      <c r="L29" s="54">
        <f t="shared" si="0"/>
        <v>1.4003852435828936E-4</v>
      </c>
    </row>
    <row r="30" spans="2:12" s="192" customFormat="1" ht="24" customHeight="1" x14ac:dyDescent="0.2">
      <c r="B30" s="185" t="s">
        <v>48</v>
      </c>
      <c r="C30" s="186"/>
      <c r="D30" s="186"/>
      <c r="E30" s="187" t="s">
        <v>49</v>
      </c>
      <c r="F30" s="187"/>
      <c r="G30" s="188"/>
      <c r="H30" s="189"/>
      <c r="I30" s="189"/>
      <c r="J30" s="190">
        <f>SUM(J31:J34)</f>
        <v>58103.66</v>
      </c>
      <c r="K30" s="190">
        <f>SUM(K31:K34)</f>
        <v>69766.239999999991</v>
      </c>
      <c r="L30" s="191">
        <f t="shared" si="0"/>
        <v>4.4252021467643177E-2</v>
      </c>
    </row>
    <row r="31" spans="2:12" ht="26.1" hidden="1" customHeight="1" x14ac:dyDescent="0.2">
      <c r="B31" s="48" t="s">
        <v>50</v>
      </c>
      <c r="C31" s="49" t="s">
        <v>16</v>
      </c>
      <c r="D31" s="32" t="s">
        <v>7</v>
      </c>
      <c r="E31" s="50" t="s">
        <v>17</v>
      </c>
      <c r="F31" s="51" t="s">
        <v>9</v>
      </c>
      <c r="G31" s="52">
        <f>MC!H138</f>
        <v>552</v>
      </c>
      <c r="H31" s="53">
        <v>0.14000000000000001</v>
      </c>
      <c r="I31" s="53">
        <f t="shared" si="1"/>
        <v>0.16</v>
      </c>
      <c r="J31" s="53">
        <f t="shared" ref="J31:J34" si="6">TRUNC((G31*H31),2)</f>
        <v>77.28</v>
      </c>
      <c r="K31" s="53">
        <f t="shared" ref="K31:K34" si="7">TRUNC((G31*I31),2)</f>
        <v>88.32</v>
      </c>
      <c r="L31" s="54">
        <f t="shared" si="0"/>
        <v>5.6020484062524306E-5</v>
      </c>
    </row>
    <row r="32" spans="2:12" ht="51.95" hidden="1" customHeight="1" x14ac:dyDescent="0.2">
      <c r="B32" s="48" t="s">
        <v>51</v>
      </c>
      <c r="C32" s="49" t="s">
        <v>19</v>
      </c>
      <c r="D32" s="32" t="s">
        <v>7</v>
      </c>
      <c r="E32" s="50" t="s">
        <v>20</v>
      </c>
      <c r="F32" s="51" t="s">
        <v>21</v>
      </c>
      <c r="G32" s="52">
        <f>MC!H145</f>
        <v>178</v>
      </c>
      <c r="H32" s="53">
        <v>54.54</v>
      </c>
      <c r="I32" s="53">
        <f t="shared" si="1"/>
        <v>65.489999999999995</v>
      </c>
      <c r="J32" s="53">
        <f t="shared" si="6"/>
        <v>9708.1200000000008</v>
      </c>
      <c r="K32" s="53">
        <f t="shared" si="7"/>
        <v>11657.22</v>
      </c>
      <c r="L32" s="54">
        <f t="shared" si="0"/>
        <v>7.3940569205541169E-3</v>
      </c>
    </row>
    <row r="33" spans="2:12" ht="39" hidden="1" customHeight="1" x14ac:dyDescent="0.2">
      <c r="B33" s="48" t="s">
        <v>52</v>
      </c>
      <c r="C33" s="49" t="s">
        <v>23</v>
      </c>
      <c r="D33" s="32" t="s">
        <v>7</v>
      </c>
      <c r="E33" s="50" t="s">
        <v>24</v>
      </c>
      <c r="F33" s="51" t="s">
        <v>9</v>
      </c>
      <c r="G33" s="52">
        <f>MC!H151</f>
        <v>552</v>
      </c>
      <c r="H33" s="53">
        <v>87.2</v>
      </c>
      <c r="I33" s="53">
        <f t="shared" si="1"/>
        <v>104.71</v>
      </c>
      <c r="J33" s="53">
        <f t="shared" si="6"/>
        <v>48134.400000000001</v>
      </c>
      <c r="K33" s="53">
        <f t="shared" si="7"/>
        <v>57799.92</v>
      </c>
      <c r="L33" s="54">
        <f t="shared" si="0"/>
        <v>3.666190553866825E-2</v>
      </c>
    </row>
    <row r="34" spans="2:12" ht="26.1" hidden="1" customHeight="1" x14ac:dyDescent="0.2">
      <c r="B34" s="48" t="s">
        <v>53</v>
      </c>
      <c r="C34" s="49">
        <v>2</v>
      </c>
      <c r="D34" s="32" t="s">
        <v>132</v>
      </c>
      <c r="E34" s="50" t="s">
        <v>33</v>
      </c>
      <c r="F34" s="51" t="s">
        <v>12</v>
      </c>
      <c r="G34" s="52">
        <f>MC!H157</f>
        <v>2</v>
      </c>
      <c r="H34" s="53">
        <v>91.93</v>
      </c>
      <c r="I34" s="53">
        <f t="shared" si="1"/>
        <v>110.39</v>
      </c>
      <c r="J34" s="53">
        <f t="shared" si="6"/>
        <v>183.86</v>
      </c>
      <c r="K34" s="53">
        <f t="shared" si="7"/>
        <v>220.78</v>
      </c>
      <c r="L34" s="54">
        <f t="shared" si="0"/>
        <v>1.4003852435828936E-4</v>
      </c>
    </row>
    <row r="35" spans="2:12" s="192" customFormat="1" ht="24" customHeight="1" x14ac:dyDescent="0.2">
      <c r="B35" s="185" t="s">
        <v>54</v>
      </c>
      <c r="C35" s="186"/>
      <c r="D35" s="186"/>
      <c r="E35" s="187" t="s">
        <v>55</v>
      </c>
      <c r="F35" s="187"/>
      <c r="G35" s="188"/>
      <c r="H35" s="189"/>
      <c r="I35" s="189"/>
      <c r="J35" s="190">
        <f>SUM(J36:J39)</f>
        <v>32748.640000000003</v>
      </c>
      <c r="K35" s="190">
        <f>SUM(K36:K39)</f>
        <v>39321.929999999993</v>
      </c>
      <c r="L35" s="191">
        <f t="shared" si="0"/>
        <v>2.4941503089591217E-2</v>
      </c>
    </row>
    <row r="36" spans="2:12" ht="26.1" hidden="1" customHeight="1" x14ac:dyDescent="0.2">
      <c r="B36" s="48" t="s">
        <v>56</v>
      </c>
      <c r="C36" s="49" t="s">
        <v>16</v>
      </c>
      <c r="D36" s="32" t="s">
        <v>7</v>
      </c>
      <c r="E36" s="50" t="s">
        <v>17</v>
      </c>
      <c r="F36" s="51" t="s">
        <v>9</v>
      </c>
      <c r="G36" s="52">
        <f>MC!H164</f>
        <v>316.40000000000003</v>
      </c>
      <c r="H36" s="53">
        <v>0.14000000000000001</v>
      </c>
      <c r="I36" s="53">
        <f t="shared" si="1"/>
        <v>0.16</v>
      </c>
      <c r="J36" s="53">
        <f t="shared" ref="J36:J39" si="8">TRUNC((G36*H36),2)</f>
        <v>44.29</v>
      </c>
      <c r="K36" s="53">
        <f t="shared" ref="K36:K39" si="9">TRUNC((G36*I36),2)</f>
        <v>50.62</v>
      </c>
      <c r="L36" s="54">
        <f t="shared" si="0"/>
        <v>3.2107754792175955E-5</v>
      </c>
    </row>
    <row r="37" spans="2:12" ht="51.95" hidden="1" customHeight="1" x14ac:dyDescent="0.2">
      <c r="B37" s="48" t="s">
        <v>57</v>
      </c>
      <c r="C37" s="49" t="s">
        <v>19</v>
      </c>
      <c r="D37" s="32" t="s">
        <v>7</v>
      </c>
      <c r="E37" s="50" t="s">
        <v>20</v>
      </c>
      <c r="F37" s="51" t="s">
        <v>21</v>
      </c>
      <c r="G37" s="52">
        <f>MC!H170</f>
        <v>90.4</v>
      </c>
      <c r="H37" s="53">
        <v>54.54</v>
      </c>
      <c r="I37" s="53">
        <f t="shared" si="1"/>
        <v>65.489999999999995</v>
      </c>
      <c r="J37" s="53">
        <f t="shared" si="8"/>
        <v>4930.41</v>
      </c>
      <c r="K37" s="53">
        <f t="shared" si="9"/>
        <v>5920.29</v>
      </c>
      <c r="L37" s="54">
        <f t="shared" si="0"/>
        <v>3.7551801584071788E-3</v>
      </c>
    </row>
    <row r="38" spans="2:12" ht="39" hidden="1" customHeight="1" x14ac:dyDescent="0.2">
      <c r="B38" s="48" t="s">
        <v>58</v>
      </c>
      <c r="C38" s="49" t="s">
        <v>23</v>
      </c>
      <c r="D38" s="32" t="s">
        <v>7</v>
      </c>
      <c r="E38" s="50" t="s">
        <v>24</v>
      </c>
      <c r="F38" s="51" t="s">
        <v>9</v>
      </c>
      <c r="G38" s="52">
        <f>MC!H176</f>
        <v>316.40000000000003</v>
      </c>
      <c r="H38" s="53">
        <v>87.2</v>
      </c>
      <c r="I38" s="53">
        <f t="shared" si="1"/>
        <v>104.71</v>
      </c>
      <c r="J38" s="53">
        <f t="shared" si="8"/>
        <v>27590.080000000002</v>
      </c>
      <c r="K38" s="53">
        <f t="shared" si="9"/>
        <v>33130.239999999998</v>
      </c>
      <c r="L38" s="54">
        <f t="shared" si="0"/>
        <v>2.1014176652033575E-2</v>
      </c>
    </row>
    <row r="39" spans="2:12" ht="26.1" hidden="1" customHeight="1" x14ac:dyDescent="0.2">
      <c r="B39" s="48" t="s">
        <v>59</v>
      </c>
      <c r="C39" s="49">
        <v>2</v>
      </c>
      <c r="D39" s="32" t="s">
        <v>132</v>
      </c>
      <c r="E39" s="50" t="s">
        <v>33</v>
      </c>
      <c r="F39" s="51" t="s">
        <v>12</v>
      </c>
      <c r="G39" s="52">
        <f>MC!H182</f>
        <v>2</v>
      </c>
      <c r="H39" s="53">
        <v>91.93</v>
      </c>
      <c r="I39" s="53">
        <f t="shared" si="1"/>
        <v>110.39</v>
      </c>
      <c r="J39" s="53">
        <f t="shared" si="8"/>
        <v>183.86</v>
      </c>
      <c r="K39" s="53">
        <f t="shared" si="9"/>
        <v>220.78</v>
      </c>
      <c r="L39" s="54">
        <f t="shared" si="0"/>
        <v>1.4003852435828936E-4</v>
      </c>
    </row>
    <row r="40" spans="2:12" s="192" customFormat="1" ht="24" customHeight="1" x14ac:dyDescent="0.2">
      <c r="B40" s="185" t="s">
        <v>60</v>
      </c>
      <c r="C40" s="186"/>
      <c r="D40" s="186"/>
      <c r="E40" s="187" t="s">
        <v>61</v>
      </c>
      <c r="F40" s="187"/>
      <c r="G40" s="188"/>
      <c r="H40" s="189"/>
      <c r="I40" s="189"/>
      <c r="J40" s="190">
        <f>SUM(J41:J44)</f>
        <v>33325.020000000004</v>
      </c>
      <c r="K40" s="190">
        <f>SUM(K41:K44)</f>
        <v>40014</v>
      </c>
      <c r="L40" s="191">
        <f t="shared" si="0"/>
        <v>2.5380476101424906E-2</v>
      </c>
    </row>
    <row r="41" spans="2:12" ht="26.1" hidden="1" customHeight="1" x14ac:dyDescent="0.2">
      <c r="B41" s="48" t="s">
        <v>62</v>
      </c>
      <c r="C41" s="49" t="s">
        <v>16</v>
      </c>
      <c r="D41" s="32" t="s">
        <v>7</v>
      </c>
      <c r="E41" s="50" t="s">
        <v>17</v>
      </c>
      <c r="F41" s="51" t="s">
        <v>9</v>
      </c>
      <c r="G41" s="52">
        <f>MC!H189</f>
        <v>322</v>
      </c>
      <c r="H41" s="53">
        <v>0.14000000000000001</v>
      </c>
      <c r="I41" s="53">
        <f t="shared" si="1"/>
        <v>0.16</v>
      </c>
      <c r="J41" s="53">
        <f t="shared" ref="J41:J44" si="10">TRUNC((G41*H41),2)</f>
        <v>45.08</v>
      </c>
      <c r="K41" s="53">
        <f t="shared" ref="K41:K44" si="11">TRUNC((G41*I41),2)</f>
        <v>51.52</v>
      </c>
      <c r="L41" s="54">
        <f t="shared" si="0"/>
        <v>3.2678615703139183E-5</v>
      </c>
    </row>
    <row r="42" spans="2:12" ht="51.95" hidden="1" customHeight="1" x14ac:dyDescent="0.2">
      <c r="B42" s="48" t="s">
        <v>63</v>
      </c>
      <c r="C42" s="49" t="s">
        <v>19</v>
      </c>
      <c r="D42" s="32" t="s">
        <v>7</v>
      </c>
      <c r="E42" s="50" t="s">
        <v>20</v>
      </c>
      <c r="F42" s="51" t="s">
        <v>21</v>
      </c>
      <c r="G42" s="52">
        <f>MC!H195</f>
        <v>92</v>
      </c>
      <c r="H42" s="53">
        <v>54.54</v>
      </c>
      <c r="I42" s="53">
        <f t="shared" si="1"/>
        <v>65.489999999999995</v>
      </c>
      <c r="J42" s="53">
        <f t="shared" si="10"/>
        <v>5017.68</v>
      </c>
      <c r="K42" s="53">
        <f t="shared" si="11"/>
        <v>6025.08</v>
      </c>
      <c r="L42" s="54">
        <f t="shared" si="0"/>
        <v>3.8216473971403302E-3</v>
      </c>
    </row>
    <row r="43" spans="2:12" ht="39" hidden="1" customHeight="1" x14ac:dyDescent="0.2">
      <c r="B43" s="48" t="s">
        <v>64</v>
      </c>
      <c r="C43" s="49" t="s">
        <v>23</v>
      </c>
      <c r="D43" s="32" t="s">
        <v>7</v>
      </c>
      <c r="E43" s="50" t="s">
        <v>24</v>
      </c>
      <c r="F43" s="51" t="s">
        <v>9</v>
      </c>
      <c r="G43" s="52">
        <f>MC!H201</f>
        <v>322</v>
      </c>
      <c r="H43" s="53">
        <v>87.2</v>
      </c>
      <c r="I43" s="53">
        <f t="shared" si="1"/>
        <v>104.71</v>
      </c>
      <c r="J43" s="53">
        <f t="shared" si="10"/>
        <v>28078.400000000001</v>
      </c>
      <c r="K43" s="53">
        <f t="shared" si="11"/>
        <v>33716.620000000003</v>
      </c>
      <c r="L43" s="54">
        <f t="shared" si="0"/>
        <v>2.138611156422315E-2</v>
      </c>
    </row>
    <row r="44" spans="2:12" ht="26.1" hidden="1" customHeight="1" x14ac:dyDescent="0.2">
      <c r="B44" s="48" t="s">
        <v>65</v>
      </c>
      <c r="C44" s="49">
        <v>2</v>
      </c>
      <c r="D44" s="32" t="s">
        <v>132</v>
      </c>
      <c r="E44" s="50" t="s">
        <v>33</v>
      </c>
      <c r="F44" s="51" t="s">
        <v>12</v>
      </c>
      <c r="G44" s="52">
        <f>MC!H207</f>
        <v>2</v>
      </c>
      <c r="H44" s="53">
        <v>91.93</v>
      </c>
      <c r="I44" s="53">
        <f t="shared" si="1"/>
        <v>110.39</v>
      </c>
      <c r="J44" s="53">
        <f t="shared" si="10"/>
        <v>183.86</v>
      </c>
      <c r="K44" s="53">
        <f t="shared" si="11"/>
        <v>220.78</v>
      </c>
      <c r="L44" s="54">
        <f t="shared" si="0"/>
        <v>1.4003852435828936E-4</v>
      </c>
    </row>
    <row r="45" spans="2:12" s="192" customFormat="1" ht="24" customHeight="1" x14ac:dyDescent="0.2">
      <c r="B45" s="185" t="s">
        <v>66</v>
      </c>
      <c r="C45" s="186"/>
      <c r="D45" s="186"/>
      <c r="E45" s="187" t="s">
        <v>67</v>
      </c>
      <c r="F45" s="187"/>
      <c r="G45" s="188"/>
      <c r="H45" s="189"/>
      <c r="I45" s="189"/>
      <c r="J45" s="190">
        <f>SUM(J46:J49)</f>
        <v>34189.56</v>
      </c>
      <c r="K45" s="190">
        <f>SUM(K46:K49)</f>
        <v>41052.07</v>
      </c>
      <c r="L45" s="191">
        <f t="shared" si="0"/>
        <v>2.6038913419028899E-2</v>
      </c>
    </row>
    <row r="46" spans="2:12" ht="26.1" hidden="1" customHeight="1" x14ac:dyDescent="0.2">
      <c r="B46" s="48" t="s">
        <v>68</v>
      </c>
      <c r="C46" s="49" t="s">
        <v>16</v>
      </c>
      <c r="D46" s="32" t="s">
        <v>7</v>
      </c>
      <c r="E46" s="50" t="s">
        <v>17</v>
      </c>
      <c r="F46" s="51" t="s">
        <v>9</v>
      </c>
      <c r="G46" s="52">
        <f>MC!H214</f>
        <v>330.40000000000003</v>
      </c>
      <c r="H46" s="53">
        <v>0.14000000000000001</v>
      </c>
      <c r="I46" s="53">
        <f t="shared" si="1"/>
        <v>0.16</v>
      </c>
      <c r="J46" s="53">
        <f t="shared" ref="J46:J49" si="12">TRUNC((G46*H46),2)</f>
        <v>46.25</v>
      </c>
      <c r="K46" s="53">
        <f t="shared" ref="K46:K49" si="13">TRUNC((G46*I46),2)</f>
        <v>52.86</v>
      </c>
      <c r="L46" s="54">
        <f t="shared" si="0"/>
        <v>3.3528564170573311E-5</v>
      </c>
    </row>
    <row r="47" spans="2:12" ht="51.95" hidden="1" customHeight="1" x14ac:dyDescent="0.2">
      <c r="B47" s="48" t="s">
        <v>69</v>
      </c>
      <c r="C47" s="49" t="s">
        <v>19</v>
      </c>
      <c r="D47" s="32" t="s">
        <v>7</v>
      </c>
      <c r="E47" s="50" t="s">
        <v>20</v>
      </c>
      <c r="F47" s="51" t="s">
        <v>21</v>
      </c>
      <c r="G47" s="52">
        <f>MC!H220</f>
        <v>94.4</v>
      </c>
      <c r="H47" s="53">
        <v>54.54</v>
      </c>
      <c r="I47" s="53">
        <f t="shared" si="1"/>
        <v>65.489999999999995</v>
      </c>
      <c r="J47" s="53">
        <f t="shared" si="12"/>
        <v>5148.57</v>
      </c>
      <c r="K47" s="53">
        <f t="shared" si="13"/>
        <v>6182.25</v>
      </c>
      <c r="L47" s="54">
        <f t="shared" si="0"/>
        <v>3.9213387408915407E-3</v>
      </c>
    </row>
    <row r="48" spans="2:12" ht="39" hidden="1" customHeight="1" x14ac:dyDescent="0.2">
      <c r="B48" s="48" t="s">
        <v>70</v>
      </c>
      <c r="C48" s="49" t="s">
        <v>23</v>
      </c>
      <c r="D48" s="32" t="s">
        <v>7</v>
      </c>
      <c r="E48" s="50" t="s">
        <v>24</v>
      </c>
      <c r="F48" s="51" t="s">
        <v>9</v>
      </c>
      <c r="G48" s="52">
        <f>MC!H226</f>
        <v>330.40000000000003</v>
      </c>
      <c r="H48" s="53">
        <v>87.2</v>
      </c>
      <c r="I48" s="53">
        <f t="shared" si="1"/>
        <v>104.71</v>
      </c>
      <c r="J48" s="53">
        <f t="shared" si="12"/>
        <v>28810.880000000001</v>
      </c>
      <c r="K48" s="53">
        <f t="shared" si="13"/>
        <v>34596.18</v>
      </c>
      <c r="L48" s="54">
        <f t="shared" si="0"/>
        <v>2.1944007589608495E-2</v>
      </c>
    </row>
    <row r="49" spans="2:12" ht="26.1" hidden="1" customHeight="1" x14ac:dyDescent="0.2">
      <c r="B49" s="48" t="s">
        <v>71</v>
      </c>
      <c r="C49" s="49">
        <v>2</v>
      </c>
      <c r="D49" s="32" t="s">
        <v>132</v>
      </c>
      <c r="E49" s="50" t="s">
        <v>33</v>
      </c>
      <c r="F49" s="51" t="s">
        <v>12</v>
      </c>
      <c r="G49" s="52">
        <f>MC!H232</f>
        <v>2</v>
      </c>
      <c r="H49" s="53">
        <v>91.93</v>
      </c>
      <c r="I49" s="53">
        <f t="shared" si="1"/>
        <v>110.39</v>
      </c>
      <c r="J49" s="53">
        <f t="shared" si="12"/>
        <v>183.86</v>
      </c>
      <c r="K49" s="53">
        <f t="shared" si="13"/>
        <v>220.78</v>
      </c>
      <c r="L49" s="54">
        <f t="shared" si="0"/>
        <v>1.4003852435828936E-4</v>
      </c>
    </row>
    <row r="50" spans="2:12" ht="24" customHeight="1" x14ac:dyDescent="0.2">
      <c r="B50" s="42">
        <v>5</v>
      </c>
      <c r="C50" s="31"/>
      <c r="D50" s="31"/>
      <c r="E50" s="43" t="s">
        <v>148</v>
      </c>
      <c r="F50" s="43"/>
      <c r="G50" s="44"/>
      <c r="H50" s="45"/>
      <c r="I50" s="45"/>
      <c r="J50" s="46">
        <f>J51+J56</f>
        <v>50573.37</v>
      </c>
      <c r="K50" s="46">
        <f>K51+K56</f>
        <v>60724.5</v>
      </c>
      <c r="L50" s="47">
        <f t="shared" si="0"/>
        <v>3.8516937097540276E-2</v>
      </c>
    </row>
    <row r="51" spans="2:12" s="192" customFormat="1" ht="24" customHeight="1" x14ac:dyDescent="0.2">
      <c r="B51" s="185" t="s">
        <v>179</v>
      </c>
      <c r="C51" s="186"/>
      <c r="D51" s="186"/>
      <c r="E51" s="187" t="s">
        <v>151</v>
      </c>
      <c r="F51" s="187"/>
      <c r="G51" s="188"/>
      <c r="H51" s="189"/>
      <c r="I51" s="189"/>
      <c r="J51" s="190">
        <f>SUM(J52:J55)</f>
        <v>19842.010000000002</v>
      </c>
      <c r="K51" s="190">
        <f>SUM(K52:K55)</f>
        <v>23824.77</v>
      </c>
      <c r="L51" s="191">
        <f t="shared" si="0"/>
        <v>1.5111811006321415E-2</v>
      </c>
    </row>
    <row r="52" spans="2:12" ht="26.1" hidden="1" customHeight="1" x14ac:dyDescent="0.2">
      <c r="B52" s="48" t="s">
        <v>180</v>
      </c>
      <c r="C52" s="49" t="s">
        <v>16</v>
      </c>
      <c r="D52" s="32" t="s">
        <v>7</v>
      </c>
      <c r="E52" s="50" t="s">
        <v>17</v>
      </c>
      <c r="F52" s="51" t="s">
        <v>9</v>
      </c>
      <c r="G52" s="52">
        <f>MC!H240</f>
        <v>174.87</v>
      </c>
      <c r="H52" s="53">
        <v>0.14000000000000001</v>
      </c>
      <c r="I52" s="53">
        <f t="shared" ref="I52:I55" si="14">TRUNC((H52*($H$3+1)),2)</f>
        <v>0.16</v>
      </c>
      <c r="J52" s="53">
        <f t="shared" ref="J52:J55" si="15">TRUNC((G52*H52),2)</f>
        <v>24.48</v>
      </c>
      <c r="K52" s="53">
        <f t="shared" ref="K52:K55" si="16">TRUNC((G52*I52),2)</f>
        <v>27.97</v>
      </c>
      <c r="L52" s="54">
        <f t="shared" si="0"/>
        <v>1.7741088532934837E-5</v>
      </c>
    </row>
    <row r="53" spans="2:12" ht="51" hidden="1" x14ac:dyDescent="0.2">
      <c r="B53" s="48" t="s">
        <v>181</v>
      </c>
      <c r="C53" s="49" t="s">
        <v>19</v>
      </c>
      <c r="D53" s="32" t="s">
        <v>7</v>
      </c>
      <c r="E53" s="50" t="s">
        <v>20</v>
      </c>
      <c r="F53" s="51" t="s">
        <v>21</v>
      </c>
      <c r="G53" s="52">
        <f>MC!H246</f>
        <v>80.400000000000006</v>
      </c>
      <c r="H53" s="53">
        <v>54.54</v>
      </c>
      <c r="I53" s="53">
        <f t="shared" si="14"/>
        <v>65.489999999999995</v>
      </c>
      <c r="J53" s="53">
        <f t="shared" si="15"/>
        <v>4385.01</v>
      </c>
      <c r="K53" s="53">
        <f t="shared" si="16"/>
        <v>5265.39</v>
      </c>
      <c r="L53" s="54">
        <f t="shared" si="0"/>
        <v>3.3397837021962736E-3</v>
      </c>
    </row>
    <row r="54" spans="2:12" ht="25.5" hidden="1" x14ac:dyDescent="0.2">
      <c r="B54" s="48" t="s">
        <v>182</v>
      </c>
      <c r="C54" s="49" t="s">
        <v>23</v>
      </c>
      <c r="D54" s="32" t="s">
        <v>7</v>
      </c>
      <c r="E54" s="50" t="s">
        <v>24</v>
      </c>
      <c r="F54" s="51" t="s">
        <v>9</v>
      </c>
      <c r="G54" s="52">
        <f>MC!H252</f>
        <v>174.87</v>
      </c>
      <c r="H54" s="53">
        <v>87.2</v>
      </c>
      <c r="I54" s="53">
        <f t="shared" si="14"/>
        <v>104.71</v>
      </c>
      <c r="J54" s="53">
        <f t="shared" si="15"/>
        <v>15248.66</v>
      </c>
      <c r="K54" s="53">
        <f t="shared" si="16"/>
        <v>18310.63</v>
      </c>
      <c r="L54" s="54">
        <f t="shared" si="0"/>
        <v>1.1614247691233917E-2</v>
      </c>
    </row>
    <row r="55" spans="2:12" ht="26.1" hidden="1" customHeight="1" x14ac:dyDescent="0.2">
      <c r="B55" s="48" t="s">
        <v>183</v>
      </c>
      <c r="C55" s="49">
        <v>2</v>
      </c>
      <c r="D55" s="32" t="s">
        <v>132</v>
      </c>
      <c r="E55" s="50" t="s">
        <v>33</v>
      </c>
      <c r="F55" s="51" t="s">
        <v>12</v>
      </c>
      <c r="G55" s="52">
        <f>MC!H258</f>
        <v>2</v>
      </c>
      <c r="H55" s="53">
        <v>91.93</v>
      </c>
      <c r="I55" s="53">
        <f t="shared" si="14"/>
        <v>110.39</v>
      </c>
      <c r="J55" s="53">
        <f t="shared" si="15"/>
        <v>183.86</v>
      </c>
      <c r="K55" s="53">
        <f t="shared" si="16"/>
        <v>220.78</v>
      </c>
      <c r="L55" s="54">
        <f t="shared" si="0"/>
        <v>1.4003852435828936E-4</v>
      </c>
    </row>
    <row r="56" spans="2:12" s="192" customFormat="1" ht="24" customHeight="1" x14ac:dyDescent="0.2">
      <c r="B56" s="185" t="s">
        <v>184</v>
      </c>
      <c r="C56" s="186"/>
      <c r="D56" s="186"/>
      <c r="E56" s="187" t="s">
        <v>152</v>
      </c>
      <c r="F56" s="187"/>
      <c r="G56" s="188"/>
      <c r="H56" s="189"/>
      <c r="I56" s="189"/>
      <c r="J56" s="190">
        <f>SUM(J57:J60)</f>
        <v>30731.360000000001</v>
      </c>
      <c r="K56" s="190">
        <f>SUM(K57:K60)</f>
        <v>36899.729999999996</v>
      </c>
      <c r="L56" s="191">
        <f t="shared" si="0"/>
        <v>2.3405126091218861E-2</v>
      </c>
    </row>
    <row r="57" spans="2:12" ht="26.1" hidden="1" customHeight="1" x14ac:dyDescent="0.2">
      <c r="B57" s="48" t="s">
        <v>185</v>
      </c>
      <c r="C57" s="49" t="s">
        <v>16</v>
      </c>
      <c r="D57" s="32" t="s">
        <v>7</v>
      </c>
      <c r="E57" s="50" t="s">
        <v>17</v>
      </c>
      <c r="F57" s="51" t="s">
        <v>9</v>
      </c>
      <c r="G57" s="52">
        <f>MC!H265</f>
        <v>296.8</v>
      </c>
      <c r="H57" s="53">
        <v>0.14000000000000001</v>
      </c>
      <c r="I57" s="53">
        <f t="shared" ref="I57:I60" si="17">TRUNC((H57*($H$3+1)),2)</f>
        <v>0.16</v>
      </c>
      <c r="J57" s="53">
        <f t="shared" ref="J57:J60" si="18">TRUNC((G57*H57),2)</f>
        <v>41.55</v>
      </c>
      <c r="K57" s="53">
        <f t="shared" ref="K57:K60" si="19">TRUNC((G57*I57),2)</f>
        <v>47.48</v>
      </c>
      <c r="L57" s="54">
        <f t="shared" si="0"/>
        <v>3.0116084502815377E-5</v>
      </c>
    </row>
    <row r="58" spans="2:12" ht="51" hidden="1" x14ac:dyDescent="0.2">
      <c r="B58" s="48" t="s">
        <v>186</v>
      </c>
      <c r="C58" s="49" t="s">
        <v>19</v>
      </c>
      <c r="D58" s="32" t="s">
        <v>7</v>
      </c>
      <c r="E58" s="50" t="s">
        <v>20</v>
      </c>
      <c r="F58" s="51" t="s">
        <v>21</v>
      </c>
      <c r="G58" s="52">
        <f>MC!H271</f>
        <v>84.8</v>
      </c>
      <c r="H58" s="53">
        <v>54.54</v>
      </c>
      <c r="I58" s="53">
        <f t="shared" si="17"/>
        <v>65.489999999999995</v>
      </c>
      <c r="J58" s="53">
        <f t="shared" si="18"/>
        <v>4624.99</v>
      </c>
      <c r="K58" s="53">
        <f t="shared" si="19"/>
        <v>5553.55</v>
      </c>
      <c r="L58" s="54">
        <f t="shared" si="0"/>
        <v>3.5225606800886764E-3</v>
      </c>
    </row>
    <row r="59" spans="2:12" ht="25.5" hidden="1" x14ac:dyDescent="0.2">
      <c r="B59" s="48" t="s">
        <v>187</v>
      </c>
      <c r="C59" s="49" t="s">
        <v>23</v>
      </c>
      <c r="D59" s="32" t="s">
        <v>7</v>
      </c>
      <c r="E59" s="50" t="s">
        <v>24</v>
      </c>
      <c r="F59" s="51" t="s">
        <v>9</v>
      </c>
      <c r="G59" s="52">
        <f>MC!H277</f>
        <v>296.8</v>
      </c>
      <c r="H59" s="53">
        <v>87.2</v>
      </c>
      <c r="I59" s="53">
        <f t="shared" si="17"/>
        <v>104.71</v>
      </c>
      <c r="J59" s="53">
        <f t="shared" si="18"/>
        <v>25880.959999999999</v>
      </c>
      <c r="K59" s="53">
        <f t="shared" si="19"/>
        <v>31077.919999999998</v>
      </c>
      <c r="L59" s="54">
        <f t="shared" si="0"/>
        <v>1.9712410802269084E-2</v>
      </c>
    </row>
    <row r="60" spans="2:12" ht="25.5" hidden="1" x14ac:dyDescent="0.2">
      <c r="B60" s="48" t="s">
        <v>188</v>
      </c>
      <c r="C60" s="49">
        <v>2</v>
      </c>
      <c r="D60" s="32" t="s">
        <v>132</v>
      </c>
      <c r="E60" s="50" t="s">
        <v>33</v>
      </c>
      <c r="F60" s="51" t="s">
        <v>12</v>
      </c>
      <c r="G60" s="52">
        <f>MC!H283</f>
        <v>2</v>
      </c>
      <c r="H60" s="53">
        <v>91.93</v>
      </c>
      <c r="I60" s="53">
        <f t="shared" si="17"/>
        <v>110.39</v>
      </c>
      <c r="J60" s="53">
        <f t="shared" si="18"/>
        <v>183.86</v>
      </c>
      <c r="K60" s="53">
        <f t="shared" si="19"/>
        <v>220.78</v>
      </c>
      <c r="L60" s="54">
        <f t="shared" si="0"/>
        <v>1.4003852435828936E-4</v>
      </c>
    </row>
    <row r="61" spans="2:12" ht="24" customHeight="1" x14ac:dyDescent="0.2">
      <c r="B61" s="42">
        <v>6</v>
      </c>
      <c r="C61" s="31"/>
      <c r="D61" s="31"/>
      <c r="E61" s="43" t="s">
        <v>153</v>
      </c>
      <c r="F61" s="43"/>
      <c r="G61" s="44"/>
      <c r="H61" s="45"/>
      <c r="I61" s="45"/>
      <c r="J61" s="46">
        <f>J62+J67</f>
        <v>94103.010000000009</v>
      </c>
      <c r="K61" s="46">
        <f>K62+K67</f>
        <v>112991.04999999999</v>
      </c>
      <c r="L61" s="47">
        <f t="shared" si="0"/>
        <v>7.1669081926323444E-2</v>
      </c>
    </row>
    <row r="62" spans="2:12" s="192" customFormat="1" ht="24" customHeight="1" x14ac:dyDescent="0.2">
      <c r="B62" s="185" t="s">
        <v>149</v>
      </c>
      <c r="C62" s="186"/>
      <c r="D62" s="186"/>
      <c r="E62" s="187" t="s">
        <v>156</v>
      </c>
      <c r="F62" s="187"/>
      <c r="G62" s="188"/>
      <c r="H62" s="189"/>
      <c r="I62" s="189"/>
      <c r="J62" s="190">
        <f>SUM(J63:J66)</f>
        <v>36783.22</v>
      </c>
      <c r="K62" s="190">
        <f>SUM(K63:K66)</f>
        <v>44166.32</v>
      </c>
      <c r="L62" s="191">
        <f t="shared" si="0"/>
        <v>2.8014250743436917E-2</v>
      </c>
    </row>
    <row r="63" spans="2:12" ht="26.1" hidden="1" customHeight="1" x14ac:dyDescent="0.2">
      <c r="B63" s="48" t="s">
        <v>161</v>
      </c>
      <c r="C63" s="49" t="s">
        <v>16</v>
      </c>
      <c r="D63" s="32" t="s">
        <v>7</v>
      </c>
      <c r="E63" s="50" t="s">
        <v>17</v>
      </c>
      <c r="F63" s="51" t="s">
        <v>9</v>
      </c>
      <c r="G63" s="52">
        <f>MC!H291</f>
        <v>355.59999999999997</v>
      </c>
      <c r="H63" s="53">
        <v>0.14000000000000001</v>
      </c>
      <c r="I63" s="53">
        <f t="shared" ref="I63:I66" si="20">TRUNC((H63*($H$3+1)),2)</f>
        <v>0.16</v>
      </c>
      <c r="J63" s="53">
        <f t="shared" ref="J63:J66" si="21">TRUNC((G63*H63),2)</f>
        <v>49.78</v>
      </c>
      <c r="K63" s="53">
        <f t="shared" ref="K63:K66" si="22">TRUNC((G63*I63),2)</f>
        <v>56.89</v>
      </c>
      <c r="L63" s="54">
        <f t="shared" si="0"/>
        <v>3.6084752471886411E-5</v>
      </c>
    </row>
    <row r="64" spans="2:12" ht="51" hidden="1" x14ac:dyDescent="0.2">
      <c r="B64" s="48" t="s">
        <v>162</v>
      </c>
      <c r="C64" s="49" t="s">
        <v>19</v>
      </c>
      <c r="D64" s="32" t="s">
        <v>7</v>
      </c>
      <c r="E64" s="50" t="s">
        <v>20</v>
      </c>
      <c r="F64" s="51" t="s">
        <v>21</v>
      </c>
      <c r="G64" s="52">
        <f>MC!H297</f>
        <v>101.6</v>
      </c>
      <c r="H64" s="53">
        <v>54.54</v>
      </c>
      <c r="I64" s="53">
        <f t="shared" si="20"/>
        <v>65.489999999999995</v>
      </c>
      <c r="J64" s="53">
        <f t="shared" si="21"/>
        <v>5541.26</v>
      </c>
      <c r="K64" s="53">
        <f t="shared" si="22"/>
        <v>6653.78</v>
      </c>
      <c r="L64" s="54">
        <f t="shared" si="0"/>
        <v>4.2204254579431954E-3</v>
      </c>
    </row>
    <row r="65" spans="2:12" ht="26.1" hidden="1" customHeight="1" x14ac:dyDescent="0.2">
      <c r="B65" s="48" t="s">
        <v>163</v>
      </c>
      <c r="C65" s="49" t="s">
        <v>23</v>
      </c>
      <c r="D65" s="32" t="s">
        <v>7</v>
      </c>
      <c r="E65" s="50" t="s">
        <v>24</v>
      </c>
      <c r="F65" s="51" t="s">
        <v>9</v>
      </c>
      <c r="G65" s="52">
        <f>MC!H303</f>
        <v>355.59999999999997</v>
      </c>
      <c r="H65" s="53">
        <v>87.2</v>
      </c>
      <c r="I65" s="53">
        <f t="shared" si="20"/>
        <v>104.71</v>
      </c>
      <c r="J65" s="53">
        <f t="shared" si="21"/>
        <v>31008.32</v>
      </c>
      <c r="K65" s="53">
        <f t="shared" si="22"/>
        <v>37234.870000000003</v>
      </c>
      <c r="L65" s="54">
        <f t="shared" si="0"/>
        <v>2.361770200866355E-2</v>
      </c>
    </row>
    <row r="66" spans="2:12" ht="26.1" hidden="1" customHeight="1" x14ac:dyDescent="0.2">
      <c r="B66" s="48" t="s">
        <v>164</v>
      </c>
      <c r="C66" s="49">
        <v>2</v>
      </c>
      <c r="D66" s="32" t="s">
        <v>132</v>
      </c>
      <c r="E66" s="50" t="s">
        <v>33</v>
      </c>
      <c r="F66" s="51" t="s">
        <v>12</v>
      </c>
      <c r="G66" s="52">
        <f>MC!H309</f>
        <v>2</v>
      </c>
      <c r="H66" s="53">
        <v>91.93</v>
      </c>
      <c r="I66" s="53">
        <f t="shared" si="20"/>
        <v>110.39</v>
      </c>
      <c r="J66" s="53">
        <f t="shared" si="21"/>
        <v>183.86</v>
      </c>
      <c r="K66" s="53">
        <f t="shared" si="22"/>
        <v>220.78</v>
      </c>
      <c r="L66" s="54">
        <f t="shared" si="0"/>
        <v>1.4003852435828936E-4</v>
      </c>
    </row>
    <row r="67" spans="2:12" s="192" customFormat="1" ht="24" customHeight="1" x14ac:dyDescent="0.2">
      <c r="B67" s="185" t="s">
        <v>150</v>
      </c>
      <c r="C67" s="186"/>
      <c r="D67" s="186"/>
      <c r="E67" s="187" t="s">
        <v>157</v>
      </c>
      <c r="F67" s="187"/>
      <c r="G67" s="188"/>
      <c r="H67" s="189"/>
      <c r="I67" s="189"/>
      <c r="J67" s="190">
        <f>SUM(J68:J71)</f>
        <v>57319.79</v>
      </c>
      <c r="K67" s="190">
        <f>SUM(K68:K71)</f>
        <v>68824.73</v>
      </c>
      <c r="L67" s="191">
        <f t="shared" si="0"/>
        <v>4.365483118288653E-2</v>
      </c>
    </row>
    <row r="68" spans="2:12" ht="26.1" hidden="1" customHeight="1" x14ac:dyDescent="0.2">
      <c r="B68" s="48" t="s">
        <v>165</v>
      </c>
      <c r="C68" s="49" t="s">
        <v>16</v>
      </c>
      <c r="D68" s="32" t="s">
        <v>7</v>
      </c>
      <c r="E68" s="50" t="s">
        <v>17</v>
      </c>
      <c r="F68" s="51" t="s">
        <v>9</v>
      </c>
      <c r="G68" s="52">
        <f>MC!H316</f>
        <v>600.6</v>
      </c>
      <c r="H68" s="53">
        <v>0.14000000000000001</v>
      </c>
      <c r="I68" s="53">
        <f t="shared" ref="I68:I71" si="23">TRUNC((H68*($H$3+1)),2)</f>
        <v>0.16</v>
      </c>
      <c r="J68" s="53">
        <f t="shared" ref="J68:J71" si="24">TRUNC((G68*H68),2)</f>
        <v>84.08</v>
      </c>
      <c r="K68" s="53">
        <f t="shared" ref="K68:K71" si="25">TRUNC((G68*I68),2)</f>
        <v>96.09</v>
      </c>
      <c r="L68" s="54">
        <f t="shared" si="0"/>
        <v>6.0948916593840141E-5</v>
      </c>
    </row>
    <row r="69" spans="2:12" ht="51" hidden="1" x14ac:dyDescent="0.2">
      <c r="B69" s="48" t="s">
        <v>166</v>
      </c>
      <c r="C69" s="49" t="s">
        <v>19</v>
      </c>
      <c r="D69" s="32" t="s">
        <v>7</v>
      </c>
      <c r="E69" s="50" t="s">
        <v>20</v>
      </c>
      <c r="F69" s="51" t="s">
        <v>21</v>
      </c>
      <c r="G69" s="52">
        <f>MC!H322</f>
        <v>85.8</v>
      </c>
      <c r="H69" s="53">
        <v>54.54</v>
      </c>
      <c r="I69" s="53">
        <f t="shared" si="23"/>
        <v>65.489999999999995</v>
      </c>
      <c r="J69" s="53">
        <f t="shared" si="24"/>
        <v>4679.53</v>
      </c>
      <c r="K69" s="53">
        <f t="shared" si="25"/>
        <v>5619.04</v>
      </c>
      <c r="L69" s="54">
        <f t="shared" si="0"/>
        <v>3.5641003257097666E-3</v>
      </c>
    </row>
    <row r="70" spans="2:12" ht="26.1" hidden="1" customHeight="1" x14ac:dyDescent="0.2">
      <c r="B70" s="48" t="s">
        <v>167</v>
      </c>
      <c r="C70" s="49" t="s">
        <v>23</v>
      </c>
      <c r="D70" s="32" t="s">
        <v>7</v>
      </c>
      <c r="E70" s="50" t="s">
        <v>24</v>
      </c>
      <c r="F70" s="51" t="s">
        <v>9</v>
      </c>
      <c r="G70" s="52">
        <f>MC!H328</f>
        <v>600.6</v>
      </c>
      <c r="H70" s="53">
        <v>87.2</v>
      </c>
      <c r="I70" s="53">
        <f t="shared" si="23"/>
        <v>104.71</v>
      </c>
      <c r="J70" s="53">
        <f t="shared" si="24"/>
        <v>52372.32</v>
      </c>
      <c r="K70" s="53">
        <f t="shared" si="25"/>
        <v>62888.82</v>
      </c>
      <c r="L70" s="54">
        <f t="shared" ref="L70:L82" si="26">K70/$I$86</f>
        <v>3.9889743416224636E-2</v>
      </c>
    </row>
    <row r="71" spans="2:12" ht="26.1" hidden="1" customHeight="1" x14ac:dyDescent="0.2">
      <c r="B71" s="48" t="s">
        <v>168</v>
      </c>
      <c r="C71" s="49">
        <v>2</v>
      </c>
      <c r="D71" s="32" t="s">
        <v>132</v>
      </c>
      <c r="E71" s="50" t="s">
        <v>33</v>
      </c>
      <c r="F71" s="51" t="s">
        <v>12</v>
      </c>
      <c r="G71" s="52">
        <f>MC!H334</f>
        <v>2</v>
      </c>
      <c r="H71" s="53">
        <v>91.93</v>
      </c>
      <c r="I71" s="53">
        <f t="shared" si="23"/>
        <v>110.39</v>
      </c>
      <c r="J71" s="53">
        <f t="shared" si="24"/>
        <v>183.86</v>
      </c>
      <c r="K71" s="53">
        <f t="shared" si="25"/>
        <v>220.78</v>
      </c>
      <c r="L71" s="54">
        <f t="shared" si="26"/>
        <v>1.4003852435828936E-4</v>
      </c>
    </row>
    <row r="72" spans="2:12" ht="19.5" customHeight="1" x14ac:dyDescent="0.2">
      <c r="B72" s="42">
        <v>7</v>
      </c>
      <c r="C72" s="31"/>
      <c r="D72" s="31"/>
      <c r="E72" s="43" t="s">
        <v>158</v>
      </c>
      <c r="F72" s="43"/>
      <c r="G72" s="44"/>
      <c r="H72" s="45"/>
      <c r="I72" s="45"/>
      <c r="J72" s="46">
        <f>J73+J78</f>
        <v>54598.16</v>
      </c>
      <c r="K72" s="46">
        <f>K73+K78</f>
        <v>65557.26999999999</v>
      </c>
      <c r="L72" s="47">
        <f t="shared" si="26"/>
        <v>4.1582314302735533E-2</v>
      </c>
    </row>
    <row r="73" spans="2:12" s="192" customFormat="1" ht="24" customHeight="1" x14ac:dyDescent="0.2">
      <c r="B73" s="185" t="s">
        <v>154</v>
      </c>
      <c r="C73" s="186"/>
      <c r="D73" s="186"/>
      <c r="E73" s="187" t="s">
        <v>159</v>
      </c>
      <c r="F73" s="187"/>
      <c r="G73" s="188"/>
      <c r="H73" s="189"/>
      <c r="I73" s="189"/>
      <c r="J73" s="190">
        <f>SUM(J74:J77)</f>
        <v>29404.35</v>
      </c>
      <c r="K73" s="190">
        <f>SUM(K74:K77)</f>
        <v>35306.46</v>
      </c>
      <c r="L73" s="191">
        <f t="shared" si="26"/>
        <v>2.2394531020540669E-2</v>
      </c>
    </row>
    <row r="74" spans="2:12" hidden="1" x14ac:dyDescent="0.2">
      <c r="B74" s="48" t="s">
        <v>169</v>
      </c>
      <c r="C74" s="49" t="s">
        <v>16</v>
      </c>
      <c r="D74" s="32" t="s">
        <v>7</v>
      </c>
      <c r="E74" s="50" t="s">
        <v>17</v>
      </c>
      <c r="F74" s="51" t="s">
        <v>9</v>
      </c>
      <c r="G74" s="52">
        <f>MC!H343</f>
        <v>269.05500000000006</v>
      </c>
      <c r="H74" s="53">
        <v>0.14000000000000001</v>
      </c>
      <c r="I74" s="53">
        <f t="shared" ref="I74:I77" si="27">TRUNC((H74*($H$3+1)),2)</f>
        <v>0.16</v>
      </c>
      <c r="J74" s="53">
        <f t="shared" ref="J74:J77" si="28">TRUNC((G74*H74),2)</f>
        <v>37.659999999999997</v>
      </c>
      <c r="K74" s="53">
        <f t="shared" ref="K74:K77" si="29">TRUNC((G74*I74),2)</f>
        <v>43.04</v>
      </c>
      <c r="L74" s="54">
        <f t="shared" si="26"/>
        <v>2.7299837342063475E-5</v>
      </c>
    </row>
    <row r="75" spans="2:12" ht="51" hidden="1" x14ac:dyDescent="0.2">
      <c r="B75" s="48" t="s">
        <v>170</v>
      </c>
      <c r="C75" s="49" t="s">
        <v>19</v>
      </c>
      <c r="D75" s="32" t="s">
        <v>7</v>
      </c>
      <c r="E75" s="50" t="s">
        <v>20</v>
      </c>
      <c r="F75" s="51" t="s">
        <v>21</v>
      </c>
      <c r="G75" s="52">
        <f>MC!H349</f>
        <v>104.9</v>
      </c>
      <c r="H75" s="53">
        <v>54.54</v>
      </c>
      <c r="I75" s="53">
        <f t="shared" si="27"/>
        <v>65.489999999999995</v>
      </c>
      <c r="J75" s="53">
        <f t="shared" si="28"/>
        <v>5721.24</v>
      </c>
      <c r="K75" s="53">
        <f t="shared" si="29"/>
        <v>6869.9</v>
      </c>
      <c r="L75" s="54">
        <f t="shared" si="26"/>
        <v>4.3575081913624965E-3</v>
      </c>
    </row>
    <row r="76" spans="2:12" ht="25.5" hidden="1" x14ac:dyDescent="0.2">
      <c r="B76" s="48" t="s">
        <v>171</v>
      </c>
      <c r="C76" s="49" t="s">
        <v>23</v>
      </c>
      <c r="D76" s="32" t="s">
        <v>7</v>
      </c>
      <c r="E76" s="50" t="s">
        <v>24</v>
      </c>
      <c r="F76" s="51" t="s">
        <v>9</v>
      </c>
      <c r="G76" s="52">
        <f>MC!H356</f>
        <v>269.05500000000006</v>
      </c>
      <c r="H76" s="53">
        <v>87.2</v>
      </c>
      <c r="I76" s="53">
        <f t="shared" si="27"/>
        <v>104.71</v>
      </c>
      <c r="J76" s="53">
        <f t="shared" si="28"/>
        <v>23461.59</v>
      </c>
      <c r="K76" s="53">
        <f t="shared" si="29"/>
        <v>28172.74</v>
      </c>
      <c r="L76" s="54">
        <f t="shared" si="26"/>
        <v>1.7869684467477821E-2</v>
      </c>
    </row>
    <row r="77" spans="2:12" ht="25.5" hidden="1" x14ac:dyDescent="0.2">
      <c r="B77" s="48" t="s">
        <v>172</v>
      </c>
      <c r="C77" s="49">
        <v>2</v>
      </c>
      <c r="D77" s="32" t="s">
        <v>132</v>
      </c>
      <c r="E77" s="50" t="s">
        <v>33</v>
      </c>
      <c r="F77" s="51" t="s">
        <v>12</v>
      </c>
      <c r="G77" s="52">
        <f>MC!H362</f>
        <v>2</v>
      </c>
      <c r="H77" s="53">
        <v>91.93</v>
      </c>
      <c r="I77" s="53">
        <f t="shared" si="27"/>
        <v>110.39</v>
      </c>
      <c r="J77" s="53">
        <f t="shared" si="28"/>
        <v>183.86</v>
      </c>
      <c r="K77" s="53">
        <f t="shared" si="29"/>
        <v>220.78</v>
      </c>
      <c r="L77" s="54">
        <f t="shared" si="26"/>
        <v>1.4003852435828936E-4</v>
      </c>
    </row>
    <row r="78" spans="2:12" s="192" customFormat="1" ht="24" customHeight="1" x14ac:dyDescent="0.2">
      <c r="B78" s="185" t="s">
        <v>155</v>
      </c>
      <c r="C78" s="186"/>
      <c r="D78" s="186"/>
      <c r="E78" s="187" t="s">
        <v>160</v>
      </c>
      <c r="F78" s="187"/>
      <c r="G78" s="188"/>
      <c r="H78" s="189"/>
      <c r="I78" s="189"/>
      <c r="J78" s="190">
        <f>SUM(J79:J82)</f>
        <v>25193.81</v>
      </c>
      <c r="K78" s="190">
        <f>SUM(K79:K82)</f>
        <v>30250.809999999998</v>
      </c>
      <c r="L78" s="191">
        <f t="shared" si="26"/>
        <v>1.9187783282194868E-2</v>
      </c>
    </row>
    <row r="79" spans="2:12" ht="26.1" hidden="1" customHeight="1" x14ac:dyDescent="0.2">
      <c r="B79" s="48" t="s">
        <v>173</v>
      </c>
      <c r="C79" s="49" t="s">
        <v>16</v>
      </c>
      <c r="D79" s="32" t="s">
        <v>7</v>
      </c>
      <c r="E79" s="50" t="s">
        <v>17</v>
      </c>
      <c r="F79" s="51" t="s">
        <v>9</v>
      </c>
      <c r="G79" s="52">
        <f>MC!H371</f>
        <v>225.34250000000003</v>
      </c>
      <c r="H79" s="53">
        <v>0.14000000000000001</v>
      </c>
      <c r="I79" s="53">
        <f t="shared" ref="I79:I82" si="30">TRUNC((H79*($H$3+1)),2)</f>
        <v>0.16</v>
      </c>
      <c r="J79" s="53">
        <f t="shared" ref="J79:J82" si="31">TRUNC((G79*H79),2)</f>
        <v>31.54</v>
      </c>
      <c r="K79" s="53">
        <f t="shared" ref="K79:K82" si="32">TRUNC((G79*I79),2)</f>
        <v>36.049999999999997</v>
      </c>
      <c r="L79" s="54">
        <f t="shared" si="26"/>
        <v>2.286615093358244E-5</v>
      </c>
    </row>
    <row r="80" spans="2:12" ht="51" hidden="1" x14ac:dyDescent="0.2">
      <c r="B80" s="48" t="s">
        <v>174</v>
      </c>
      <c r="C80" s="49" t="s">
        <v>19</v>
      </c>
      <c r="D80" s="32" t="s">
        <v>7</v>
      </c>
      <c r="E80" s="50" t="s">
        <v>20</v>
      </c>
      <c r="F80" s="51" t="s">
        <v>21</v>
      </c>
      <c r="G80" s="52">
        <f>MC!H377</f>
        <v>97.7</v>
      </c>
      <c r="H80" s="53">
        <v>54.54</v>
      </c>
      <c r="I80" s="53">
        <f t="shared" si="30"/>
        <v>65.489999999999995</v>
      </c>
      <c r="J80" s="53">
        <f t="shared" si="31"/>
        <v>5328.55</v>
      </c>
      <c r="K80" s="53">
        <f t="shared" si="32"/>
        <v>6398.37</v>
      </c>
      <c r="L80" s="54">
        <f t="shared" si="26"/>
        <v>4.0584214743108428E-3</v>
      </c>
    </row>
    <row r="81" spans="2:14" ht="26.1" hidden="1" customHeight="1" x14ac:dyDescent="0.2">
      <c r="B81" s="48" t="s">
        <v>175</v>
      </c>
      <c r="C81" s="49" t="s">
        <v>23</v>
      </c>
      <c r="D81" s="32" t="s">
        <v>7</v>
      </c>
      <c r="E81" s="50" t="s">
        <v>24</v>
      </c>
      <c r="F81" s="51" t="s">
        <v>9</v>
      </c>
      <c r="G81" s="52">
        <f>MC!H385</f>
        <v>225.34250000000003</v>
      </c>
      <c r="H81" s="53">
        <v>87.2</v>
      </c>
      <c r="I81" s="53">
        <f t="shared" si="30"/>
        <v>104.71</v>
      </c>
      <c r="J81" s="53">
        <f t="shared" si="31"/>
        <v>19649.86</v>
      </c>
      <c r="K81" s="53">
        <f t="shared" si="32"/>
        <v>23595.61</v>
      </c>
      <c r="L81" s="54">
        <f t="shared" si="26"/>
        <v>1.4966457132592157E-2</v>
      </c>
    </row>
    <row r="82" spans="2:14" ht="26.1" hidden="1" customHeight="1" x14ac:dyDescent="0.2">
      <c r="B82" s="48" t="s">
        <v>176</v>
      </c>
      <c r="C82" s="49">
        <v>2</v>
      </c>
      <c r="D82" s="32" t="s">
        <v>132</v>
      </c>
      <c r="E82" s="50" t="s">
        <v>33</v>
      </c>
      <c r="F82" s="51" t="s">
        <v>12</v>
      </c>
      <c r="G82" s="52">
        <f>MC!H391</f>
        <v>2</v>
      </c>
      <c r="H82" s="53">
        <v>91.93</v>
      </c>
      <c r="I82" s="53">
        <f t="shared" si="30"/>
        <v>110.39</v>
      </c>
      <c r="J82" s="53">
        <f t="shared" si="31"/>
        <v>183.86</v>
      </c>
      <c r="K82" s="53">
        <f t="shared" si="32"/>
        <v>220.78</v>
      </c>
      <c r="L82" s="54">
        <f t="shared" si="26"/>
        <v>1.4003852435828936E-4</v>
      </c>
    </row>
    <row r="83" spans="2:14" x14ac:dyDescent="0.2">
      <c r="B83" s="55"/>
      <c r="C83" s="33"/>
      <c r="D83" s="33"/>
      <c r="E83" s="33"/>
      <c r="F83" s="33"/>
      <c r="G83" s="33"/>
      <c r="H83" s="56"/>
      <c r="I83" s="56"/>
      <c r="J83" s="56"/>
      <c r="K83" s="56"/>
      <c r="L83" s="57"/>
    </row>
    <row r="84" spans="2:14" x14ac:dyDescent="0.2">
      <c r="B84" s="205"/>
      <c r="C84" s="206"/>
      <c r="D84" s="206"/>
      <c r="E84" s="59"/>
      <c r="F84" s="58"/>
      <c r="G84" s="207" t="s">
        <v>72</v>
      </c>
      <c r="H84" s="206"/>
      <c r="I84" s="208">
        <f>J19+J13+J9+J6+J50+J61+J72</f>
        <v>1313236.9400000002</v>
      </c>
      <c r="J84" s="208"/>
      <c r="K84" s="206"/>
      <c r="L84" s="209"/>
    </row>
    <row r="85" spans="2:14" x14ac:dyDescent="0.2">
      <c r="B85" s="205"/>
      <c r="C85" s="206"/>
      <c r="D85" s="206"/>
      <c r="E85" s="59"/>
      <c r="F85" s="58"/>
      <c r="G85" s="207" t="s">
        <v>73</v>
      </c>
      <c r="H85" s="206"/>
      <c r="I85" s="208">
        <f>I86-I84</f>
        <v>263329.23</v>
      </c>
      <c r="J85" s="208"/>
      <c r="K85" s="206"/>
      <c r="L85" s="209"/>
    </row>
    <row r="86" spans="2:14" x14ac:dyDescent="0.2">
      <c r="B86" s="205"/>
      <c r="C86" s="206"/>
      <c r="D86" s="206"/>
      <c r="E86" s="59"/>
      <c r="F86" s="58"/>
      <c r="G86" s="207" t="s">
        <v>74</v>
      </c>
      <c r="H86" s="206"/>
      <c r="I86" s="208">
        <f>K19+K13+K9+K6+K50+K61+K72</f>
        <v>1576566.1700000002</v>
      </c>
      <c r="J86" s="208"/>
      <c r="K86" s="206"/>
      <c r="L86" s="209"/>
      <c r="M86" s="144">
        <f>1300000*N86</f>
        <v>1560000</v>
      </c>
      <c r="N86" s="35">
        <v>1.2</v>
      </c>
    </row>
    <row r="87" spans="2:14" ht="60" customHeight="1" x14ac:dyDescent="0.2">
      <c r="B87" s="60"/>
      <c r="C87" s="34"/>
      <c r="D87" s="34"/>
      <c r="E87" s="34"/>
      <c r="F87" s="34"/>
      <c r="G87" s="34"/>
      <c r="H87" s="61"/>
      <c r="I87" s="61"/>
      <c r="J87" s="61"/>
      <c r="K87" s="61"/>
      <c r="L87" s="62"/>
      <c r="M87" s="145">
        <f>M86-I86</f>
        <v>-16566.170000000158</v>
      </c>
    </row>
    <row r="88" spans="2:14" ht="69.95" customHeight="1" thickBot="1" x14ac:dyDescent="0.25">
      <c r="B88" s="210" t="s">
        <v>207</v>
      </c>
      <c r="C88" s="211"/>
      <c r="D88" s="211"/>
      <c r="E88" s="211"/>
      <c r="F88" s="211"/>
      <c r="G88" s="211"/>
      <c r="H88" s="211"/>
      <c r="I88" s="211"/>
      <c r="J88" s="211"/>
      <c r="K88" s="211"/>
      <c r="L88" s="212"/>
    </row>
  </sheetData>
  <mergeCells count="17">
    <mergeCell ref="B86:D86"/>
    <mergeCell ref="G86:H86"/>
    <mergeCell ref="I86:L86"/>
    <mergeCell ref="B88:L88"/>
    <mergeCell ref="B4:L4"/>
    <mergeCell ref="B84:D84"/>
    <mergeCell ref="G84:H84"/>
    <mergeCell ref="I84:L84"/>
    <mergeCell ref="B85:D85"/>
    <mergeCell ref="G85:H85"/>
    <mergeCell ref="I85:L85"/>
    <mergeCell ref="F2:G2"/>
    <mergeCell ref="H2:I2"/>
    <mergeCell ref="K2:L2"/>
    <mergeCell ref="F3:G3"/>
    <mergeCell ref="H3:I3"/>
    <mergeCell ref="K3:L3"/>
  </mergeCells>
  <pageMargins left="0.26" right="0.28000000000000003" top="0.63" bottom="1" header="0.23" footer="0.5"/>
  <pageSetup paperSize="9" scale="78" fitToHeight="0" orientation="landscape" r:id="rId1"/>
  <headerFooter>
    <oddHeader>&amp;L &amp;CSecretaria de Infraestrutura
CNPJ: 10.191.799/0001-02 &amp;R</oddHeader>
    <oddFooter>&amp;L &amp;CRua Desembargador Felismino Guedes  - Centro - Cupira / PE
 / infraestrutura@cupira.pe.gov.br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CFF</vt:lpstr>
      <vt:lpstr>PLAN</vt:lpstr>
      <vt:lpstr>MC</vt:lpstr>
      <vt:lpstr>BDI N DESON </vt:lpstr>
      <vt:lpstr>CPU</vt:lpstr>
      <vt:lpstr>PLAN (2)</vt:lpstr>
      <vt:lpstr>'BDI N DESON '!Area_de_impressao</vt:lpstr>
      <vt:lpstr>CFF!Area_de_impressao</vt:lpstr>
      <vt:lpstr>CPU!Area_de_impressao</vt:lpstr>
      <vt:lpstr>MC!Area_de_impressao</vt:lpstr>
      <vt:lpstr>PLAN!Area_de_impressao</vt:lpstr>
      <vt:lpstr>'PLAN (2)'!Area_de_impressao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LICITAÇÃO 02</cp:lastModifiedBy>
  <cp:revision>0</cp:revision>
  <cp:lastPrinted>2024-10-10T18:57:17Z</cp:lastPrinted>
  <dcterms:created xsi:type="dcterms:W3CDTF">2024-08-22T18:24:15Z</dcterms:created>
  <dcterms:modified xsi:type="dcterms:W3CDTF">2024-10-24T12:34:57Z</dcterms:modified>
</cp:coreProperties>
</file>